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drawings/drawing0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2026년도 회기\제393회 임시회\2026. 9. 8. 화. 도시3차(주무)\"/>
    </mc:Choice>
  </mc:AlternateContent>
  <x:bookViews>
    <x:workbookView xWindow="0" yWindow="0" windowWidth="17565" windowHeight="9105" tabRatio="853" firstSheet="3"/>
  </x:bookViews>
  <x:sheets>
    <x:sheet name="1. 표지 (상임위)" sheetId="1" r:id="rId4"/>
    <x:sheet name="1. 총괄표(상임위)" sheetId="2" r:id="rId5"/>
    <x:sheet name="2. 표지 (예결위)" sheetId="3" r:id="rId6"/>
    <x:sheet name="2. 총괄표(예결위)" sheetId="4" r:id="rId7"/>
    <x:sheet name="3. 일입" sheetId="5" r:id="rId8"/>
    <x:sheet name="3. 일출(자체)" sheetId="6" r:id="rId9"/>
    <x:sheet name="3. 일출(의존)" sheetId="7" r:id="rId10"/>
    <x:sheet name="4. 특입" sheetId="8" r:id="rId11"/>
    <x:sheet name="4. 특출" sheetId="9" r:id="rId12"/>
    <x:sheet name="4-1. 공특입" sheetId="10" r:id="rId13"/>
    <x:sheet name="4-1. 공특출" sheetId="11" r:id="rId14"/>
    <x:sheet name="5. 기입" sheetId="12" r:id="rId15"/>
    <x:sheet name="5. 기출" sheetId="13" r:id="rId16"/>
    <x:sheet name="6. 계속비사업조서" sheetId="14" r:id="rId17"/>
    <x:sheet name="7. 검증" sheetId="15" r:id="rId18"/>
    <x:sheet name="구분표" sheetId="16" r:id="rId19"/>
  </x:sheets>
  <x:definedNames>
    <x:definedName name="_xlnm._FilterDatabase" localSheetId="4" hidden="1">'3. 일입'!$A$7:$BE$194</x:definedName>
    <x:definedName name="_xlnm._FilterDatabase" localSheetId="6" hidden="1">'3. 일출(의존)'!$A$6:$AY$182</x:definedName>
    <x:definedName name="_xlnm._FilterDatabase" localSheetId="5" hidden="1">'3. 일출(자체)'!$A$6:$AS$182</x:definedName>
    <x:definedName name="_xlnm._FilterDatabase" localSheetId="7" hidden="1">'4. 특입'!$A$6:$AQ$51</x:definedName>
    <x:definedName name="_xlnm._FilterDatabase" localSheetId="8" hidden="1">'4. 특출'!$A$5:$AQ$50</x:definedName>
    <x:definedName name="_xlnm._FilterDatabase" localSheetId="9" hidden="1">'4-1. 공특입'!$A$6:$Z$16</x:definedName>
    <x:definedName name="_xlnm._FilterDatabase" localSheetId="10" hidden="1">'4-1. 공특출'!$A$5:$AB$15</x:definedName>
    <x:definedName name="_xlnm._FilterDatabase" localSheetId="11" hidden="1">'5. 기입'!$A$6:$AS$126</x:definedName>
    <x:definedName name="_xlnm._FilterDatabase" localSheetId="12" hidden="1">'5. 기출'!$A$6:$AN$126</x:definedName>
    <x:definedName name="_xlnm._FilterDatabase" localSheetId="15" hidden="1">구분표!$A$2:$P$254</x:definedName>
    <x:definedName name="_xlnm.Print_Area" localSheetId="0">'1. 표지 (상임위)'!$A$1:$M$15</x:definedName>
    <x:definedName name="_xlnm.Print_Area" localSheetId="1">'1. 총괄표(상임위)'!$A$1:$I$28</x:definedName>
    <x:definedName name="_xlnm.Print_Area" localSheetId="2">'2. 표지 (예결위)'!$A$1:$M$15</x:definedName>
    <x:definedName name="_xlnm.Print_Area" localSheetId="3">'2. 총괄표(예결위)'!$A$1:$I$27</x:definedName>
    <x:definedName name="_xlnm.Print_Area" localSheetId="4">'3. 일입'!$A$1:$BE$194</x:definedName>
    <x:definedName name="_xlnm.Print_Area" localSheetId="5">'3. 일출(자체)'!$A$1:$AS$182</x:definedName>
    <x:definedName name="_xlnm.Print_Area" localSheetId="6">'3. 일출(의존)'!$A$1:$AX$191</x:definedName>
    <x:definedName name="_xlnm.Print_Area" localSheetId="7">'4. 특입'!$A$1:$AQ$52</x:definedName>
    <x:definedName name="_xlnm.Print_Area" localSheetId="8">'4. 특출'!$A$1:$AQ$51</x:definedName>
    <x:definedName name="_xlnm.Print_Area" localSheetId="9">'4-1. 공특입'!$A$1:$Z$16</x:definedName>
    <x:definedName name="_xlnm.Print_Area" localSheetId="10">'4-1. 공특출'!$A$1:$AA$15</x:definedName>
    <x:definedName name="_xlnm.Print_Area" localSheetId="11">'5. 기입'!$A$1:$AS$126</x:definedName>
    <x:definedName name="_xlnm.Print_Area" localSheetId="12">'5. 기출'!$A$1:$AN$126</x:definedName>
    <x:definedName name="_xlnm.Print_Area" localSheetId="13">'6. 계속비사업조서'!$A$1:$M$456</x:definedName>
    <x:definedName name="_xlnm.Print_Area" localSheetId="14">'7. 검증'!$A$1:$M$15</x:definedName>
    <x:definedName name="_xlnm.Print_Titles" localSheetId="4">'3. 일입'!$3:$6</x:definedName>
    <x:definedName name="_xlnm.Print_Titles" localSheetId="5">'3. 일출(자체)'!$2:$5</x:definedName>
    <x:definedName name="_xlnm.Print_Titles" localSheetId="6">'3. 일출(의존)'!$2:$5</x:definedName>
    <x:definedName name="_xlnm.Print_Titles" localSheetId="7">'4. 특입'!$4:$5</x:definedName>
    <x:definedName name="_xlnm.Print_Titles" localSheetId="8">'4. 특출'!$2:$4</x:definedName>
    <x:definedName name="_xlnm.Print_Titles" localSheetId="9">'4-1. 공특입'!$4:$5</x:definedName>
    <x:definedName name="_xlnm.Print_Titles" localSheetId="10">'4-1. 공특출'!$2:$4</x:definedName>
    <x:definedName name="_xlnm.Print_Titles" localSheetId="11">'5. 기입'!$4:$5</x:definedName>
    <x:definedName name="_xlnm.Print_Titles" localSheetId="12">'5. 기출'!$3:$5</x:definedName>
    <x:definedName name="_xlnm.Print_Titles" localSheetId="13">'6. 계속비사업조서'!$3:$4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김정이</x:author>
  </x:authors>
  <x:commentList>
    <x:comment ref="E4:E4" authorId="0">
      <x:text>
        <x:r>
          <x:rPr>
            <x:rFont val="돋움"/>
            <x:sz val="22"/>
            <x:color rgb="ff000000"/>
            <x:b val="1"/>
          </x:rPr>
          <x:t>본예산/1추/2추/신규 중 선택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F4:F4" authorId="0">
      <x:text>
        <x:r>
          <x:rPr>
            <x:rFont val="돋움"/>
            <x:sz val="20"/>
            <x:color rgb="ff000000"/>
          </x:rPr>
          <x:t xml:space="preserve">2추 예산안에 포함된 경우 예산안 페이지 입력, 
나머지는 "-"입력
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G4:G4" authorId="0">
      <x:text>
        <x:r>
          <x:rPr>
            <x:rFont val="돋움"/>
            <x:sz val="22"/>
            <x:color rgb="ff000000"/>
          </x:rPr>
          <x:t xml:space="preserve">2추 예산안에 있는 경우, 해당 사업설명서 페이지 입력(정수로 입력)
</x:t>
        </x:r>
      </x:text>
    </x:comment>
    <x:comment ref="K4:K4" authorId="0">
      <x:text>
        <x:r>
          <x:rPr>
            <x:rFont val="돋움"/>
            <x:sz val="18"/>
            <x:color rgb="ff000000"/>
          </x:rPr>
          <x:t>편성구분이
"본예산", "1추"인 경우
2026년도 본예산 혹은 1회 추경 경정액 입력
"2추"인 경우
예산안의 기정액 입력</x:t>
        </x:r>
      </x:text>
    </x:comment>
    <x:comment ref="L4:L4" authorId="0">
      <x:text>
        <x:r>
          <x:rPr>
            <x:rFont val="돋움"/>
            <x:sz val="18"/>
            <x:color rgb="ff000000"/>
          </x:rPr>
          <x:t xml:space="preserve">편성구분이 
"2추" 인 경우 증감액,
"본예산", "신규" , "1추" 는 "-"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김정이</x:author>
  </x:authors>
  <x:commentList>
    <x:comment ref="E3:E3" authorId="0">
      <x:text>
        <x:r>
          <x:rPr>
            <x:rFont val="돋움"/>
            <x:sz val="22"/>
            <x:color rgb="ff000000"/>
            <x:b val="1"/>
          </x:rPr>
          <x:t>본예산/1추/2추/신규 중 선택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F3:F3" authorId="0">
      <x:text>
        <x:r>
          <x:rPr>
            <x:rFont val="돋움"/>
            <x:sz val="20"/>
            <x:color rgb="ff000000"/>
          </x:rPr>
          <x:t>2추 예산안에 포함된 경우 예산안 페이지 입력, 
나머지는 "-"입력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G3:G3" authorId="0">
      <x:text>
        <x:r>
          <x:rPr>
            <x:rFont val="돋움"/>
            <x:sz val="22"/>
            <x:color rgb="ff000000"/>
          </x:rPr>
          <x:t xml:space="preserve">2추 예산안에 있는 경우, 해당 사업설명서 페이지 입력(정수로 입력, 신규추가일 경우 "-" 입력
</x:t>
        </x:r>
      </x:text>
    </x:comment>
    <x:comment ref="M3:M3" authorId="0">
      <x:text>
        <x:r>
          <x:rPr>
            <x:rFont val="돋움"/>
            <x:sz val="18"/>
            <x:color rgb="ff000000"/>
          </x:rPr>
          <x:t>편성구분이
"본예산", "1추"인 경우
2026년도 본예산 혹은 1회 추경 경정액 입력
"2추"인 경우
예산안의 기정액 입력</x:t>
        </x:r>
      </x:text>
    </x:comment>
    <x:comment ref="N3:N3" authorId="0">
      <x:text>
        <x:r>
          <x:rPr>
            <x:rFont val="돋움"/>
            <x:sz val="18"/>
            <x:color rgb="ff000000"/>
          </x:rPr>
          <x:t xml:space="preserve">편성구분이 
"2추" 인 경우 증감액,
"본예산", "신규" , "1추" 는 "-"
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  <x:author>김정이</x:author>
  </x:authors>
  <x:commentList>
    <x:comment ref="A148:A148" authorId="0">
      <x:text>
        <x:r>
          <x:rPr>
            <x:rFont val="돋움"/>
            <x:sz val="20"/>
            <x:color rgb="ff000000"/>
          </x:rPr>
          <x:t>상임위</x:t>
        </x:r>
        <x:r>
          <x:rPr>
            <x:rFont val="Tahoma"/>
            <x:sz val="20"/>
            <x:color rgb="ff000000"/>
          </x:rPr>
          <x:t xml:space="preserve"> </x:t>
        </x:r>
        <x:r>
          <x:rPr>
            <x:rFont val="돋움"/>
            <x:sz val="20"/>
            <x:color rgb="ff000000"/>
          </x:rPr>
          <x:t>세입번호</x:t>
        </x:r>
        <x:r>
          <x:rPr>
            <x:rFont val="Tahoma"/>
            <x:sz val="20"/>
            <x:color rgb="ff000000"/>
          </x:rPr>
          <x:t xml:space="preserve"> </x:t>
        </x:r>
        <x:r>
          <x:rPr>
            <x:rFont val="돋움"/>
            <x:sz val="20"/>
            <x:color rgb="ff000000"/>
          </x:rPr>
          <x:t>연결</x:t>
        </x:r>
        <x:r>
          <x:rPr>
            <x:rFont val="Tahoma"/>
            <x:sz val="20"/>
            <x:color rgb="ff000000"/>
          </x:rPr>
          <x:t xml:space="preserve"> </x:t>
        </x:r>
        <x:r>
          <x:rPr>
            <x:rFont val="돋움"/>
            <x:sz val="20"/>
            <x:color rgb="ff000000"/>
          </x:rPr>
          <x:t>수정함</x:t>
        </x:r>
      </x:text>
    </x:comment>
    <x:comment ref="E3:E3" authorId="1">
      <x:text>
        <x:r>
          <x:rPr>
            <x:rFont val="돋움"/>
            <x:sz val="22"/>
            <x:color rgb="ff000000"/>
            <x:b val="1"/>
          </x:rPr>
          <x:t>본예산/1추/2추/신규 중 선택</x:t>
        </x:r>
      </x:text>
    </x:comment>
    <x:comment ref="F3:F3" authorId="1">
      <x:text>
        <x:r>
          <x:rPr>
            <x:rFont val="돋움"/>
            <x:sz val="20"/>
            <x:color rgb="ff000000"/>
          </x:rPr>
          <x:t xml:space="preserve">2추 예산안에 포함된 경우 예산안 페이지 입력, 
나머지는 "-"입력
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G3:G3" authorId="1">
      <x:text>
        <x:r>
          <x:rPr>
            <x:rFont val="돋움"/>
            <x:sz val="22"/>
            <x:color rgb="ff000000"/>
          </x:rPr>
          <x:t xml:space="preserve">2추 예산안에 있는 경우, 해당 사업설명서 페이지 입력(정수로 입력, 신규추가일 경우 "-" 입력
</x:t>
        </x:r>
      </x:text>
    </x:comment>
    <x:comment ref="M3:M3" authorId="1">
      <x:text>
        <x:r>
          <x:rPr>
            <x:rFont val="돋움"/>
            <x:sz val="18"/>
            <x:color rgb="ff000000"/>
          </x:rPr>
          <x:t>편성구분이
"본예산", "1추"인 경우
2026년도 본예산 혹은 1회 추경 경정액 입력
"2추"인 경우
예산안의 기정액 입력</x:t>
        </x:r>
      </x:text>
    </x:comment>
    <x:comment ref="N3:N3" authorId="1">
      <x:text>
        <x:r>
          <x:rPr>
            <x:rFont val="돋움"/>
            <x:sz val="18"/>
            <x:color rgb="ff000000"/>
          </x:rPr>
          <x:t xml:space="preserve">편성구분이 
"2추" 인 경우 증감액,
"본예산", "신규" , "1추" 는 "-"
</x:t>
        </x:r>
      </x:text>
    </x:comment>
  </x:commentList>
</x:comments>
</file>

<file path=xl/comments4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  <x:author>김정이</x:author>
  </x:authors>
  <x:commentList>
    <x:comment ref="E4:E4" authorId="0">
      <x:text>
        <x:r>
          <x:rPr>
            <x:rFont val="돋움"/>
            <x:sz val="20"/>
            <x:color rgb="ff000000"/>
            <x:b val="1"/>
          </x:rPr>
          <x:t>본예산/1추/2추/신규 중 선택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F4:F4" authorId="0">
      <x:text>
        <x:r>
          <x:rPr>
            <x:rFont val="돋움"/>
            <x:sz val="22"/>
            <x:color rgb="ff000000"/>
          </x:rPr>
          <x:t xml:space="preserve">2추 예산안에 포함된 경우 예산안 페이지 입력, 
나머지는 "-"입력
</x:t>
        </x:r>
      </x:text>
    </x:comment>
    <x:comment ref="G4:G4" authorId="0">
      <x:text>
        <x:r>
          <x:rPr>
            <x:rFont val="돋움"/>
            <x:sz val="20"/>
            <x:color rgb="ff000000"/>
          </x:rPr>
          <x:t>2추 예산안에 있는 경우, 해당 사업설명서 페이지 입력(정수로 입력)</x:t>
        </x:r>
        <x:r>
          <x:rPr>
            <x:rFont val="Tahoma"/>
            <x:sz val="20"/>
            <x:color rgb="ff000000"/>
          </x:rPr>
          <x:t xml:space="preserve">
</x:t>
        </x:r>
      </x:text>
    </x:comment>
    <x:comment ref="K4:K4" authorId="1">
      <x:text>
        <x:r>
          <x:rPr>
            <x:rFont val="돋움"/>
            <x:sz val="18"/>
            <x:color rgb="ff000000"/>
          </x:rPr>
          <x:t xml:space="preserve">편성구분이
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>", "1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경우
</x:t>
        </x:r>
        <x:r>
          <x:rPr>
            <x:rFont val="Tahoma"/>
            <x:sz val="18"/>
            <x:color rgb="ff000000"/>
          </x:rPr>
          <x:t>2026</x:t>
        </x:r>
        <x:r>
          <x:rPr>
            <x:rFont val="돋움"/>
            <x:sz val="18"/>
            <x:color rgb="ff000000"/>
          </x:rPr>
          <x:t>년도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혹은</x:t>
        </x:r>
        <x:r>
          <x:rPr>
            <x:rFont val="Tahoma"/>
            <x:sz val="18"/>
            <x:color rgb="ff000000"/>
          </x:rPr>
          <x:t xml:space="preserve"> 1</x:t>
        </x:r>
        <x:r>
          <x:rPr>
            <x:rFont val="돋움"/>
            <x:sz val="18"/>
            <x:color rgb="ff000000"/>
          </x:rPr>
          <x:t>회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추경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입력
</x:t>
        </x:r>
        <x:r>
          <x:rPr>
            <x:rFont val="Tahoma"/>
            <x:sz val="18"/>
            <x:color rgb="ff000000"/>
          </x:rPr>
          <x:t>"2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경우
예산안의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기정액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입력</x:t>
        </x:r>
      </x:text>
    </x:comment>
    <x:comment ref="L4:L4" authorId="1">
      <x:text>
        <x:r>
          <x:rPr>
            <x:rFont val="돋움"/>
            <x:sz val="18"/>
            <x:color rgb="ff000000"/>
          </x:rPr>
          <x:t>편성구분이 
"2추" 인 경우 증감액,
"본예산", "신규" , "1추" 는 "-"</x:t>
        </x:r>
      </x:text>
    </x:comment>
  </x:commentList>
</x:comments>
</file>

<file path=xl/comments5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  <x:author>김정이</x:author>
  </x:authors>
  <x:commentList>
    <x:comment ref="E3:E3" authorId="0">
      <x:text>
        <x:r>
          <x:rPr>
            <x:rFont val="돋움"/>
            <x:sz val="20"/>
            <x:color rgb="ff000000"/>
            <x:b val="1"/>
          </x:rPr>
          <x:t>본예산/1추/2추/신규 중 선택</x:t>
        </x:r>
      </x:text>
    </x:comment>
    <x:comment ref="F3:F3" authorId="0">
      <x:text>
        <x:r>
          <x:rPr>
            <x:rFont val="돋움"/>
            <x:sz val="22"/>
            <x:color rgb="ff000000"/>
          </x:rPr>
          <x:t>2추 예산안에 포함된 경우 예산안 페이지 입력, 
나머지는 "-"입력</x:t>
        </x:r>
      </x:text>
    </x:comment>
    <x:comment ref="G3:G3" authorId="0">
      <x:text>
        <x:r>
          <x:rPr>
            <x:rFont val="돋움"/>
            <x:sz val="20"/>
            <x:color rgb="ff000000"/>
          </x:rPr>
          <x:t>2추 예산안에 있는 경우, 해당 사업설명서 페이지 입력(정수로 입력)</x:t>
        </x:r>
        <x:r>
          <x:rPr>
            <x:rFont val="Tahoma"/>
            <x:sz val="20"/>
            <x:color rgb="ff000000"/>
          </x:rPr>
          <x:t xml:space="preserve">
</x:t>
        </x:r>
      </x:text>
    </x:comment>
    <x:comment ref="M3:M3" authorId="1">
      <x:text>
        <x:r>
          <x:rPr>
            <x:rFont val="돋움"/>
            <x:sz val="18"/>
            <x:color rgb="ff000000"/>
          </x:rPr>
          <x:t xml:space="preserve">편성구분이
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>", "1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경우
</x:t>
        </x:r>
        <x:r>
          <x:rPr>
            <x:rFont val="Tahoma"/>
            <x:sz val="18"/>
            <x:color rgb="ff000000"/>
          </x:rPr>
          <x:t>2026</x:t>
        </x:r>
        <x:r>
          <x:rPr>
            <x:rFont val="돋움"/>
            <x:sz val="18"/>
            <x:color rgb="ff000000"/>
          </x:rPr>
          <x:t>년도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혹은</x:t>
        </x:r>
        <x:r>
          <x:rPr>
            <x:rFont val="Tahoma"/>
            <x:sz val="18"/>
            <x:color rgb="ff000000"/>
          </x:rPr>
          <x:t xml:space="preserve"> 1</x:t>
        </x:r>
        <x:r>
          <x:rPr>
            <x:rFont val="돋움"/>
            <x:sz val="18"/>
            <x:color rgb="ff000000"/>
          </x:rPr>
          <x:t>회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추경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입력
</x:t>
        </x:r>
        <x:r>
          <x:rPr>
            <x:rFont val="Tahoma"/>
            <x:sz val="18"/>
            <x:color rgb="ff000000"/>
          </x:rPr>
          <x:t>"2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경우
예산안의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기정액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입력</x:t>
        </x:r>
      </x:text>
    </x:comment>
    <x:comment ref="N3:N3" authorId="1">
      <x:text>
        <x:r>
          <x:rPr>
            <x:rFont val="돋움"/>
            <x:sz val="18"/>
            <x:color rgb="ff000000"/>
          </x:rPr>
          <x:t>편성구분이 
"2추" 인 경우 증감액,
"본예산", "신규" , "1추" 는 "-"</x:t>
        </x:r>
      </x:text>
    </x:comment>
  </x:commentList>
</x:comments>
</file>

<file path=xl/comments6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  <x:author>김정이</x:author>
  </x:authors>
  <x:commentList>
    <x:comment ref="E4:E4" authorId="0">
      <x:text>
        <x:r>
          <x:rPr>
            <x:rFont val="돋움"/>
            <x:sz val="20"/>
            <x:color rgb="ff000000"/>
            <x:b val="1"/>
          </x:rPr>
          <x:t>본예산/1추/2추/신규 중 선택</x:t>
        </x:r>
      </x:text>
    </x:comment>
    <x:comment ref="F4:F4" authorId="0">
      <x:text>
        <x:r>
          <x:rPr>
            <x:rFont val="돋움"/>
            <x:sz val="22"/>
            <x:color rgb="ff000000"/>
          </x:rPr>
          <x:t>2추 예산안에 포함된 경우 예산안 페이지 입력, 
나머지는 "-"입력</x:t>
        </x:r>
      </x:text>
    </x:comment>
    <x:comment ref="G4:G4" authorId="0">
      <x:text>
        <x:r>
          <x:rPr>
            <x:rFont val="돋움"/>
            <x:sz val="20"/>
            <x:color rgb="ff000000"/>
          </x:rPr>
          <x:t>2추 예산안에 있는 경우, 해당 사업설명서 페이지 입력(정수로 입력)</x:t>
        </x:r>
        <x:r>
          <x:rPr>
            <x:rFont val="Tahoma"/>
            <x:sz val="20"/>
            <x:color rgb="ff000000"/>
          </x:rPr>
          <x:t xml:space="preserve">
</x:t>
        </x:r>
      </x:text>
    </x:comment>
    <x:comment ref="L4:L4" authorId="1">
      <x:text>
        <x:r>
          <x:rPr>
            <x:rFont val="돋움"/>
            <x:sz val="18"/>
            <x:color rgb="ff000000"/>
          </x:rPr>
          <x:t xml:space="preserve">편성구분이
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>", "1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경우
</x:t>
        </x:r>
        <x:r>
          <x:rPr>
            <x:rFont val="Tahoma"/>
            <x:sz val="18"/>
            <x:color rgb="ff000000"/>
          </x:rPr>
          <x:t>2026</x:t>
        </x:r>
        <x:r>
          <x:rPr>
            <x:rFont val="돋움"/>
            <x:sz val="18"/>
            <x:color rgb="ff000000"/>
          </x:rPr>
          <x:t>년도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혹은</x:t>
        </x:r>
        <x:r>
          <x:rPr>
            <x:rFont val="Tahoma"/>
            <x:sz val="18"/>
            <x:color rgb="ff000000"/>
          </x:rPr>
          <x:t xml:space="preserve"> 1</x:t>
        </x:r>
        <x:r>
          <x:rPr>
            <x:rFont val="돋움"/>
            <x:sz val="18"/>
            <x:color rgb="ff000000"/>
          </x:rPr>
          <x:t>회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추경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입력
</x:t>
        </x:r>
        <x:r>
          <x:rPr>
            <x:rFont val="Tahoma"/>
            <x:sz val="18"/>
            <x:color rgb="ff000000"/>
          </x:rPr>
          <x:t>"2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경우
예산안의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기정액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입력</x:t>
        </x:r>
      </x:text>
    </x:comment>
    <x:comment ref="M4:M4" authorId="1">
      <x:text>
        <x:r>
          <x:rPr>
            <x:rFont val="돋움"/>
            <x:sz val="18"/>
            <x:color rgb="ff000000"/>
          </x:rPr>
          <x:t>편성구분이 
"2추" 인 경우 증감액,
"본예산", "신규" , "1추" 는 "-"</x:t>
        </x:r>
      </x:text>
    </x:comment>
  </x:commentList>
</x:comments>
</file>

<file path=xl/comments7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  <x:author>김정이</x:author>
  </x:authors>
  <x:commentList>
    <x:comment ref="E3:E3" authorId="0">
      <x:text>
        <x:r>
          <x:rPr>
            <x:rFont val="돋움"/>
            <x:sz val="20"/>
            <x:color rgb="ff000000"/>
            <x:b val="1"/>
          </x:rPr>
          <x:t>본예산/1추/2추/신규 중 선택</x:t>
        </x:r>
      </x:text>
    </x:comment>
    <x:comment ref="F3:F3" authorId="0">
      <x:text>
        <x:r>
          <x:rPr>
            <x:rFont val="돋움"/>
            <x:sz val="22"/>
            <x:color rgb="ff000000"/>
          </x:rPr>
          <x:t xml:space="preserve">2추 예산안에 포함된 경우 예산안 페이지 입력, 
나머지는 "-"입력
</x:t>
        </x:r>
      </x:text>
    </x:comment>
    <x:comment ref="G3:G3" authorId="0">
      <x:text>
        <x:r>
          <x:rPr>
            <x:rFont val="돋움"/>
            <x:sz val="20"/>
            <x:color rgb="ff000000"/>
          </x:rPr>
          <x:t>2추 예산안에 있는 경우, 해당 사업설명서 페이지 입력(정수로 입력)</x:t>
        </x:r>
        <x:r>
          <x:rPr>
            <x:rFont val="Tahoma"/>
            <x:sz val="20"/>
            <x:color rgb="ff000000"/>
          </x:rPr>
          <x:t xml:space="preserve">
</x:t>
        </x:r>
      </x:text>
    </x:comment>
    <x:comment ref="M3:M3" authorId="1">
      <x:text>
        <x:r>
          <x:rPr>
            <x:rFont val="돋움"/>
            <x:sz val="18"/>
            <x:color rgb="ff000000"/>
          </x:rPr>
          <x:t xml:space="preserve">편성구분이
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>", "1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경우
</x:t>
        </x:r>
        <x:r>
          <x:rPr>
            <x:rFont val="Tahoma"/>
            <x:sz val="18"/>
            <x:color rgb="ff000000"/>
          </x:rPr>
          <x:t>2026</x:t>
        </x:r>
        <x:r>
          <x:rPr>
            <x:rFont val="돋움"/>
            <x:sz val="18"/>
            <x:color rgb="ff000000"/>
          </x:rPr>
          <x:t>년도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혹은</x:t>
        </x:r>
        <x:r>
          <x:rPr>
            <x:rFont val="Tahoma"/>
            <x:sz val="18"/>
            <x:color rgb="ff000000"/>
          </x:rPr>
          <x:t xml:space="preserve"> 1</x:t>
        </x:r>
        <x:r>
          <x:rPr>
            <x:rFont val="돋움"/>
            <x:sz val="18"/>
            <x:color rgb="ff000000"/>
          </x:rPr>
          <x:t>회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추경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입력
</x:t>
        </x:r>
        <x:r>
          <x:rPr>
            <x:rFont val="Tahoma"/>
            <x:sz val="18"/>
            <x:color rgb="ff000000"/>
          </x:rPr>
          <x:t>"2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경우
예산안의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기정액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입력</x:t>
        </x:r>
      </x:text>
    </x:comment>
    <x:comment ref="N3:N3" authorId="1">
      <x:text>
        <x:r>
          <x:rPr>
            <x:rFont val="돋움"/>
            <x:sz val="18"/>
            <x:color rgb="ff000000"/>
          </x:rPr>
          <x:t>편성구분이 
"2추" 인 경우 증감액,
"본예산", "신규" , "1추" 는 "-"</x:t>
        </x:r>
      </x:text>
    </x:comment>
  </x:commentList>
</x:comments>
</file>

<file path=xl/comments8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  <x:author>김정이</x:author>
  </x:authors>
  <x:commentList>
    <x:comment ref="E4:E4" authorId="0">
      <x:text>
        <x:r>
          <x:rPr>
            <x:rFont val="돋움"/>
            <x:sz val="20"/>
            <x:color rgb="ff000000"/>
            <x:b val="1"/>
          </x:rPr>
          <x:t>본예산/1추/2추/신규 중 선택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F4:F4" authorId="0">
      <x:text>
        <x:r>
          <x:rPr>
            <x:rFont val="돋움"/>
            <x:sz val="22"/>
            <x:color rgb="ff000000"/>
          </x:rPr>
          <x:t xml:space="preserve">2추 예산안에 포함된 경우 예산안 페이지 입력, 
나머지는 "-"입력
</x:t>
        </x:r>
      </x:text>
    </x:comment>
    <x:comment ref="G4:G4" authorId="0">
      <x:text>
        <x:r>
          <x:rPr>
            <x:rFont val="돋움"/>
            <x:sz val="20"/>
            <x:color rgb="ff000000"/>
          </x:rPr>
          <x:t>2추 예산안에 있는 경우, 해당 사업설명서 페이지 입력(정수로 입력)</x:t>
        </x:r>
        <x:r>
          <x:rPr>
            <x:rFont val="Tahoma"/>
            <x:sz val="20"/>
            <x:color rgb="ff000000"/>
          </x:rPr>
          <x:t xml:space="preserve">
</x:t>
        </x:r>
      </x:text>
    </x:comment>
    <x:comment ref="K4:K4" authorId="1">
      <x:text>
        <x:r>
          <x:rPr>
            <x:rFont val="돋움"/>
            <x:sz val="18"/>
            <x:color rgb="ff000000"/>
          </x:rPr>
          <x:t xml:space="preserve">편성구분이
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>", "1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경우
</x:t>
        </x:r>
        <x:r>
          <x:rPr>
            <x:rFont val="Tahoma"/>
            <x:sz val="18"/>
            <x:color rgb="ff000000"/>
          </x:rPr>
          <x:t>2026</x:t>
        </x:r>
        <x:r>
          <x:rPr>
            <x:rFont val="돋움"/>
            <x:sz val="18"/>
            <x:color rgb="ff000000"/>
          </x:rPr>
          <x:t>년도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혹은</x:t>
        </x:r>
        <x:r>
          <x:rPr>
            <x:rFont val="Tahoma"/>
            <x:sz val="18"/>
            <x:color rgb="ff000000"/>
          </x:rPr>
          <x:t xml:space="preserve"> 1</x:t>
        </x:r>
        <x:r>
          <x:rPr>
            <x:rFont val="돋움"/>
            <x:sz val="18"/>
            <x:color rgb="ff000000"/>
          </x:rPr>
          <x:t>회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추경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입력
</x:t>
        </x:r>
        <x:r>
          <x:rPr>
            <x:rFont val="Tahoma"/>
            <x:sz val="18"/>
            <x:color rgb="ff000000"/>
          </x:rPr>
          <x:t>"2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경우
예산안의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기정액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입력</x:t>
        </x:r>
      </x:text>
    </x:comment>
    <x:comment ref="L4:L4" authorId="1">
      <x:text>
        <x:r>
          <x:rPr>
            <x:rFont val="돋움"/>
            <x:sz val="18"/>
            <x:color rgb="ff000000"/>
          </x:rPr>
          <x:t>편성구분이 
"2추" 인 경우 증감액,
"본예산", "신규" , "1추" 는 "-"</x:t>
        </x:r>
      </x:text>
    </x:comment>
  </x:commentList>
</x:comments>
</file>

<file path=xl/comments9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  <x:author>김정이</x:author>
  </x:authors>
  <x:commentList>
    <x:comment ref="E4:E4" authorId="0">
      <x:text>
        <x:r>
          <x:rPr>
            <x:rFont val="돋움"/>
            <x:sz val="20"/>
            <x:color rgb="ff000000"/>
            <x:b val="1"/>
          </x:rPr>
          <x:t>본예산/1추/2추/신규 중 선택</x:t>
        </x:r>
        <x:r>
          <x:rPr>
            <x:rFont val="Tahoma"/>
            <x:sz val="9"/>
            <x:color rgb="ff000000"/>
          </x:rPr>
          <x:t xml:space="preserve">
</x:t>
        </x:r>
      </x:text>
    </x:comment>
    <x:comment ref="F4:F4" authorId="0">
      <x:text>
        <x:r>
          <x:rPr>
            <x:rFont val="돋움"/>
            <x:sz val="22"/>
            <x:color rgb="ff000000"/>
          </x:rPr>
          <x:t xml:space="preserve">2추 예산안에 포함된 경우 예산안 페이지 입력, 
나머지는 "-"입력
</x:t>
        </x:r>
      </x:text>
    </x:comment>
    <x:comment ref="G4:G4" authorId="0">
      <x:text>
        <x:r>
          <x:rPr>
            <x:rFont val="돋움"/>
            <x:sz val="20"/>
            <x:color rgb="ff000000"/>
          </x:rPr>
          <x:t>2추 예산안에 있는 경우, 해당 사업설명서 페이지 입력(정수로 입력)</x:t>
        </x:r>
        <x:r>
          <x:rPr>
            <x:rFont val="Tahoma"/>
            <x:sz val="20"/>
            <x:color rgb="ff000000"/>
          </x:rPr>
          <x:t xml:space="preserve">
</x:t>
        </x:r>
      </x:text>
    </x:comment>
    <x:comment ref="M4:M4" authorId="1">
      <x:text>
        <x:r>
          <x:rPr>
            <x:rFont val="돋움"/>
            <x:sz val="18"/>
            <x:color rgb="ff000000"/>
          </x:rPr>
          <x:t xml:space="preserve">편성구분이
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>", "1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경우
</x:t>
        </x:r>
        <x:r>
          <x:rPr>
            <x:rFont val="Tahoma"/>
            <x:sz val="18"/>
            <x:color rgb="ff000000"/>
          </x:rPr>
          <x:t>2026</x:t>
        </x:r>
        <x:r>
          <x:rPr>
            <x:rFont val="돋움"/>
            <x:sz val="18"/>
            <x:color rgb="ff000000"/>
          </x:rPr>
          <x:t>년도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본예산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혹은</x:t>
        </x:r>
        <x:r>
          <x:rPr>
            <x:rFont val="Tahoma"/>
            <x:sz val="18"/>
            <x:color rgb="ff000000"/>
          </x:rPr>
          <x:t xml:space="preserve"> 1</x:t>
        </x:r>
        <x:r>
          <x:rPr>
            <x:rFont val="돋움"/>
            <x:sz val="18"/>
            <x:color rgb="ff000000"/>
          </x:rPr>
          <x:t>회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추경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 xml:space="preserve">입력
</x:t>
        </x:r>
        <x:r>
          <x:rPr>
            <x:rFont val="Tahoma"/>
            <x:sz val="18"/>
            <x:color rgb="ff000000"/>
          </x:rPr>
          <x:t>"2</x:t>
        </x:r>
        <x:r>
          <x:rPr>
            <x:rFont val="돋움"/>
            <x:sz val="18"/>
            <x:color rgb="ff000000"/>
          </x:rPr>
          <x:t>추</x:t>
        </x:r>
        <x:r>
          <x:rPr>
            <x:rFont val="Tahoma"/>
            <x:sz val="18"/>
            <x:color rgb="ff000000"/>
          </x:rPr>
          <x:t>"</x:t>
        </x:r>
        <x:r>
          <x:rPr>
            <x:rFont val="돋움"/>
            <x:sz val="18"/>
            <x:color rgb="ff000000"/>
          </x:rPr>
          <x:t>인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경우
예산안의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기정액</x:t>
        </x:r>
        <x:r>
          <x:rPr>
            <x:rFont val="Tahoma"/>
            <x:sz val="18"/>
            <x:color rgb="ff000000"/>
          </x:rPr>
          <x:t xml:space="preserve"> </x:t>
        </x:r>
        <x:r>
          <x:rPr>
            <x:rFont val="돋움"/>
            <x:sz val="18"/>
            <x:color rgb="ff000000"/>
          </x:rPr>
          <x:t>입력</x:t>
        </x:r>
      </x:text>
    </x:comment>
    <x:comment ref="N4:N4" authorId="1">
      <x:text>
        <x:r>
          <x:rPr>
            <x:rFont val="돋움"/>
            <x:sz val="18"/>
            <x:color rgb="ff000000"/>
          </x:rPr>
          <x:t>편성구분이 
"2추" 인 경우 증감액,
"본예산", "신규" , "1추" 는 "-"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<x:sst xmlns:r="http://schemas.openxmlformats.org/officeDocument/2006/relationships" xmlns:c="http://schemas.openxmlformats.org/drawingml/2006/chart" xmlns:x="http://schemas.openxmlformats.org/spreadsheetml/2006/main" count="23764" uniqueCount="2029">
  <x:si>
    <x:t>세입 번호
유무 검증</x:t>
  </x:si>
  <x:si>
    <x:t xml:space="preserve"> - 2019년 국비 미교부에 대한 누락 
    사항 수정 반영 </x:t>
  </x:si>
  <x:si>
    <x:r>
      <x:t xml:space="preserve">직접입력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제목 Medium"/>
            <x:sz val="18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경기천년제목 Medium"/>
            <x:sz val="18"/>
            <x:color rgb="ffff0000"/>
          </x:rPr>
        </mc:Fallback>
      </mc:AlternateContent>
      <x:t>(국비 세입이 있는 경우 "4. 특입"시트의 AD열 입력")
※ 매칭 세입이 없는 경우 세입번호에 "세입없음" 기재</x:t>
    </x:r>
  </x:si>
  <x:si>
    <x:r>
      <x:t xml:space="preserve">직접입력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제목 Medium"/>
            <x:sz val="18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경기천년제목 Medium"/>
            <x:sz val="18"/>
            <x:color rgb="ffff0000"/>
          </x:rPr>
        </mc:Fallback>
      </mc:AlternateContent>
      <x:t>(국비 세입이 있는 경우 "3. 일입"시트의 AK열 입력")
※ 매칭 세입이 없는 경우 세입번호에 "세입없음" 기재</x:t>
    </x:r>
  </x:si>
  <x:si>
    <x:r>
      <x:t xml:space="preserve">직접입력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제목 Medium"/>
            <x:sz val="18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경기천년제목 Medium"/>
            <x:sz val="18"/>
            <x:color rgb="ffff0000"/>
          </x:rPr>
        </mc:Fallback>
      </mc:AlternateContent>
      <x:t>(지방채/지역개발기금인 경우 "3. 일입"시트의 AN열 입력")
※ 매칭 세입이 없는 경우 세입번호에 "세입없음" 기재</x:t>
    </x:r>
  </x:si>
  <x:si>
    <x:t xml:space="preserve"> · 위   치 : 용인시 처인구 포곡읍 신원리 ~</x:t>
  </x:si>
  <x:si>
    <x:t xml:space="preserve"> · 사업량 : L=6.3km, B=10.5~11.75m</x:t>
  </x:si>
  <x:si>
    <x:t>경기도 청년 전·월세 보증금 이자 지원(자체/직접)</x:t>
  </x:si>
  <x:si>
    <x:t>저소득층 전세금 대출보증 및 이자지원사업(자체/직접)</x:t>
  </x:si>
  <x:si>
    <x:t>노후 승강기 등 공동주택 주거환경개선 지원(자체/지원)</x:t>
  </x:si>
  <x:si>
    <x:t>경기도 신혼부부 임차 보증금 이자 지원(자체/직접)</x:t>
  </x:si>
  <x:si>
    <x:t xml:space="preserve">                   다목적홀, 기계·전기실</x:t>
  </x:si>
  <x:si>
    <x:t>"3. 일출(자체)"
"3. 일출(의존)"
에 입력</x:t>
  </x:si>
  <x:si>
    <x:t xml:space="preserve">  - 부지 3,016.7㎡, 연면적 1,417.02㎡</x:t>
  </x:si>
  <x:si>
    <x:t>※ 위원회별, 회계별 집행부제출안(예산담당관에서 작성)</x:t>
  </x:si>
  <x:si>
    <x:t xml:space="preserve">                532-1 포함 4필지</x:t>
  </x:si>
  <x:si>
    <x:t xml:space="preserve">                 용역 연도별 집행계획 변경</x:t>
  </x:si>
  <x:si>
    <x:t xml:space="preserve"> (당초)2021~2028→(변경)2022~2031</x:t>
  </x:si>
  <x:si>
    <x:t>사회복무요원보상금</x:t>
  </x:si>
  <x:si>
    <x:t>자율방범대실비지원</x:t>
  </x:si>
  <x:si>
    <x:t>의용소방대지원경비</x:t>
  </x:si>
  <x:si>
    <x:t>맞춤형복지제도시행경비</x:t>
  </x:si>
  <x:si>
    <x:t>지역대학에대한경상보조</x:t>
  </x:si>
  <x:si>
    <x:t>북부자치경찰협력과</x:t>
  </x:si>
  <x:si>
    <x:t>경기도국민안전체험관</x:t>
  </x:si>
  <x:si>
    <x:t>친환경미생물연구소</x:t>
  </x:si>
  <x:si>
    <x:t>남부자치경찰협력과</x:t>
  </x:si>
  <x:si>
    <x:t>의원국민건강부담금</x:t>
  </x:si>
  <x:si>
    <x:t>의원국민연금부담금</x:t>
  </x:si>
  <x:si>
    <x:t>민간단체법정운영비보조</x:t>
  </x:si>
  <x:si>
    <x:t>자치단체경상보조금</x:t>
  </x:si>
  <x:si>
    <x:t>의장협의체부담금</x:t>
  </x:si>
  <x:si>
    <x:t>기간제근로자등보수</x:t>
  </x:si>
  <x:si>
    <x:t>시·군조정교부금</x:t>
  </x:si>
  <x:si>
    <x:t>자치구조정교부금</x:t>
  </x:si>
  <x:si>
    <x:t>자치구기타재원조정비</x:t>
  </x:si>
  <x:si>
    <x:t>시·군기타재원조정비</x:t>
  </x:si>
  <x:si>
    <x:t>교육기관에대한보조</x:t>
  </x:si>
  <x:si>
    <x:t>공사·공단경상전출금</x:t>
  </x:si>
  <x:si>
    <x:t>기타차입금이자상환</x:t>
  </x:si>
  <x:si>
    <x:t>자산및물품취득비</x:t>
  </x:si>
  <x:si>
    <x:t>중앙정부차입금이자상환</x:t>
  </x:si>
  <x:si>
    <x:t>공사·공단등융자금</x:t>
  </x:si>
  <x:si>
    <x:t>지방채증권원금상환</x:t>
  </x:si>
  <x:si>
    <x:t>기타국내차입금원금상환</x:t>
  </x:si>
  <x:si>
    <x:t>통화금융기관융자금</x:t>
  </x:si>
  <x:si>
    <x:t>중앙정부차입금원금상환</x:t>
  </x:si>
  <x:si>
    <x:t>지방채증권이자상환</x:t>
  </x:si>
  <x:si>
    <x:t>기타해외채무상환</x:t>
  </x:si>
  <x:si>
    <x:t>경기국제공항추진단</x:t>
  </x:si>
  <x:si>
    <x:t>시·도비보조금반환금</x:t>
  </x:si>
  <x:si>
    <x:t>북부안전특별점검단</x:t>
  </x:si>
  <x:si>
    <x:t>국고보조금반환금</x:t>
  </x:si>
  <x:si>
    <x:t>노후신도시정비과</x:t>
  </x:si>
  <x:si>
    <x:t>사회적경제육성과</x:t>
  </x:si>
  <x:si>
    <x:t>첨단모빌리티산업과</x:t>
  </x:si>
  <x:si>
    <x:t>농수산생명과학국</x:t>
  </x:si>
  <x:si>
    <x:t>기후환경에너지국</x:t>
  </x:si>
  <x:si>
    <x:t>119종합상황실</x:t>
  </x:si>
  <x:si>
    <x:t>베이비부머기회과</x:t>
  </x:si>
  <x:si>
    <x:t>북부119종합상황실</x:t>
  </x:si>
  <x:si>
    <x:t>미래과학협력위원회</x:t>
  </x:si>
  <x:si>
    <x:t>(미래과학협력위원회)</x:t>
  </x:si>
  <x:si>
    <x:t>국비=국비 증감액</x:t>
  </x:si>
  <x:si>
    <x:t>세입
번호
검증</x:t>
  </x:si>
  <x:si>
    <x:t>실국
부서
코드</x:t>
  </x:si>
  <x:si>
    <x:t>경기도도민권익위원회</x:t>
  </x:si>
  <x:si>
    <x:t>경기도감사위원회</x:t>
  </x:si>
  <x:si>
    <x:t>지역대학에대한자본보조</x:t>
  </x:si>
  <x:si>
    <x:t>시·도비법정전출금</x:t>
  </x:si>
  <x:si>
    <x:t>시·도법정전출금</x:t>
  </x:si>
  <x:si>
    <x:t>예비군육성지원경상보조</x:t>
  </x:si>
  <x:si>
    <x:t>시·군·구융자금</x:t>
  </x:si>
  <x:si>
    <x:t>12건</x:t>
  </x:si>
  <x:si>
    <x:t>실국명</x:t>
  </x:si>
  <x:si>
    <x:t>관리과</x:t>
  </x:si>
  <x:si>
    <x:t>개발과</x:t>
  </x:si>
  <x:si>
    <x:t>회계과</x:t>
  </x:si>
  <x:si>
    <x:t>건설국</x:t>
  </x:si>
  <x:si>
    <x:t>대변인</x:t>
  </x:si>
  <x:si>
    <x:t>하천과</x:t>
  </x:si>
  <x:si>
    <x:t>실과명</x:t>
  </x:si>
  <x:si>
    <x:t>인사과</x:t>
  </x:si>
  <x:si>
    <x:t>총무과</x:t>
  </x:si>
  <x:si>
    <x:t>세정과</x:t>
  </x:si>
  <x:si>
    <x:t>교통국</x:t>
  </x:si>
  <x:si>
    <x:t>2026년도 경기도 제2회 추가경정예산안 및 기금운용계획 변경안</x:t>
  </x:si>
  <x:si>
    <x:t>균특</x:t>
  </x:si>
  <x:si>
    <x:t>노동국</x:t>
  </x:si>
  <x:si>
    <x:t>감 액</x:t>
  </x:si>
  <x:si>
    <x:t>세출</x:t>
  </x:si>
  <x:si>
    <x:t>도비</x:t>
  </x:si>
  <x:si>
    <x:t>예비비</x:t>
  </x:si>
  <x:si>
    <x:t>증 액</x:t>
  </x:si>
  <x:si>
    <x:t>부서명</x:t>
  </x:si>
  <x:si>
    <x:t>구분</x:t>
  </x:si>
  <x:si>
    <x:t>계</x:t>
  </x:si>
  <x:si>
    <x:t>검증</x:t>
  </x:si>
  <x:si>
    <x:t>재원</x:t>
  </x:si>
  <x:si>
    <x:t>국비</x:t>
  </x:si>
  <x:si>
    <x:t xml:space="preserve"> </x:t>
  </x:si>
  <x:si>
    <x:t>증감액</x:t>
  </x:si>
  <x:si>
    <x:t>합 계</x:t>
  </x:si>
  <x:si>
    <x:t>복지국</x:t>
  </x:si>
  <x:si>
    <x:t>통계목</x:t>
  </x:si>
  <x:si>
    <x:t>소교</x:t>
  </x:si>
  <x:si>
    <x:t>건수</x:t>
  </x:si>
  <x:si>
    <x:t>대응과</x:t>
  </x:si>
  <x:si>
    <x:t>예방과</x:t>
  </x:si>
  <x:si>
    <x:t>합계</x:t>
  </x:si>
  <x:si>
    <x:t>차액</x:t>
  </x:si>
  <x:si>
    <x:t>세입</x:t>
  </x:si>
  <x:si>
    <x:t>조정액</x:t>
  </x:si>
  <x:si>
    <x:t>기금</x:t>
  </x:si>
  <x:si>
    <x:t>특교</x:t>
  </x:si>
  <x:si>
    <x:t>편성목</x:t>
  </x:si>
  <x:si>
    <x:t>번호</x:t>
  </x:si>
  <x:si>
    <x:t>시설비</x:t>
  </x:si>
  <x:si>
    <x:t>출자금</x:t>
  </x:si>
  <x:si>
    <x:t>목코드</x:t>
  </x:si>
  <x:si>
    <x:t>여비</x:t>
  </x:si>
  <x:si>
    <x:t>기타</x:t>
  </x:si>
  <x:si>
    <x:t>변상금</x:t>
  </x:si>
  <x:si>
    <x:t>보수</x:t>
  </x:si>
  <x:si>
    <x:t>주민세</x:t>
  </x:si>
  <x:si>
    <x:t>보험금</x:t>
  </x:si>
  <x:si>
    <x:t>목명</x:t>
  </x:si>
  <x:si>
    <x:t>부기명</x:t>
  </x:si>
  <x:si>
    <x:t>출연금</x:t>
  </x:si>
  <x:si>
    <x:t>잡손금</x:t>
  </x:si>
  <x:si>
    <x:t>전출금</x:t>
  </x:si>
  <x:si>
    <x:t>융자금</x:t>
  </x:si>
  <x:si>
    <x:t>인건비</x:t>
  </x:si>
  <x:si>
    <x:t>예탁금</x:t>
  </x:si>
  <x:si>
    <x:t>부담금</x:t>
  </x:si>
  <x:si>
    <x:t>과징금</x:t>
  </x:si>
  <x:si>
    <x:t>비고</x:t>
  </x:si>
  <x:si>
    <x:t>범칙금</x:t>
  </x:si>
  <x:si>
    <x:t>적립금</x:t>
  </x:si>
  <x:si>
    <x:t>의회비</x:t>
  </x:si>
  <x:si>
    <x:t>재료비</x:t>
  </x:si>
  <x:si>
    <x:t>포상금</x:t>
  </x:si>
  <x:si>
    <x:t>예치금</x:t>
  </x:si>
  <x:si>
    <x:t>취득세</x:t>
  </x:si>
  <x:si>
    <x:t>재산세</x:t>
  </x:si>
  <x:si>
    <x:t>레저세</x:t>
  </x:si>
  <x:si>
    <x:t>위약금</x:t>
  </x:si>
  <x:si>
    <x:t>위원회</x:t>
  </x:si>
  <x:si>
    <x:t>감리비</x:t>
  </x:si>
  <x:si>
    <x:t>24</x:t>
  </x:si>
  <x:si>
    <x:t>26</x:t>
  </x:si>
  <x:si>
    <x:t>9</x:t>
  </x:si>
  <x:si>
    <x:t>25</x:t>
  </x:si>
  <x:si>
    <x:t>지방채</x:t>
  </x:si>
  <x:si>
    <x:t>17</x:t>
  </x:si>
  <x:si>
    <x:t>6</x:t>
  </x:si>
  <x:si>
    <x:t>11</x:t>
  </x:si>
  <x:si>
    <x:t>16</x:t>
  </x:si>
  <x:si>
    <x:t>21</x:t>
  </x:si>
  <x:si>
    <x:t>19</x:t>
  </x:si>
  <x:si>
    <x:t>5</x:t>
  </x:si>
  <x:si>
    <x:t>7</x:t>
  </x:si>
  <x:si>
    <x:t>8</x:t>
  </x:si>
  <x:si>
    <x:t>10</x:t>
  </x:si>
  <x:si>
    <x:t>4</x:t>
  </x:si>
  <x:si>
    <x:t>13</x:t>
  </x:si>
  <x:si>
    <x:t>18</x:t>
  </x:si>
  <x:si>
    <x:t>소멸</x:t>
  </x:si>
  <x:si>
    <x:t>3</x:t>
  </x:si>
  <x:si>
    <x:t>AI국</x:t>
  </x:si>
  <x:si>
    <x:t>법제과</x:t>
  </x:si>
  <x:si>
    <x:t>경제실</x:t>
  </x:si>
  <x:si>
    <x:t>자체</x:t>
  </x:si>
  <x:si>
    <x:t>2</x:t>
  </x:si>
  <x:si>
    <x:t>1</x:t>
  </x:si>
  <x:si>
    <x:t>12</x:t>
  </x:si>
  <x:si>
    <x:t>14</x:t>
  </x:si>
  <x:si>
    <x:t>20</x:t>
  </x:si>
  <x:si>
    <x:t>22</x:t>
  </x:si>
  <x:si>
    <x:t>23</x:t>
  </x:si>
  <x:si>
    <x:t>15</x:t>
  </x:si>
  <x:si>
    <x:t>49</x:t>
  </x:si>
  <x:si>
    <x:t>56</x:t>
  </x:si>
  <x:si>
    <x:t>40</x:t>
  </x:si>
  <x:si>
    <x:t>54</x:t>
  </x:si>
  <x:si>
    <x:t>30</x:t>
  </x:si>
  <x:si>
    <x:t>28</x:t>
  </x:si>
  <x:si>
    <x:t>27</x:t>
  </x:si>
  <x:si>
    <x:t>32</x:t>
  </x:si>
  <x:si>
    <x:t>33</x:t>
  </x:si>
  <x:si>
    <x:t>37</x:t>
  </x:si>
  <x:si>
    <x:t>41</x:t>
  </x:si>
  <x:si>
    <x:t>29</x:t>
  </x:si>
  <x:si>
    <x:t>36</x:t>
  </x:si>
  <x:si>
    <x:t>38</x:t>
  </x:si>
  <x:si>
    <x:t>39</x:t>
  </x:si>
  <x:si>
    <x:t>51</x:t>
  </x:si>
  <x:si>
    <x:t>42</x:t>
  </x:si>
  <x:si>
    <x:t>58</x:t>
  </x:si>
  <x:si>
    <x:t>34</x:t>
  </x:si>
  <x:si>
    <x:t>35</x:t>
  </x:si>
  <x:si>
    <x:t>43</x:t>
  </x:si>
  <x:si>
    <x:t>31</x:t>
  </x:si>
  <x:si>
    <x:t>45</x:t>
  </x:si>
  <x:si>
    <x:t>50</x:t>
  </x:si>
  <x:si>
    <x:t>44</x:t>
  </x:si>
  <x:si>
    <x:t>48</x:t>
  </x:si>
  <x:si>
    <x:t>46</x:t>
  </x:si>
  <x:si>
    <x:t>52</x:t>
  </x:si>
  <x:si>
    <x:t>55</x:t>
  </x:si>
  <x:si>
    <x:t>53</x:t>
  </x:si>
  <x:si>
    <x:t>47</x:t>
  </x:si>
  <x:si>
    <x:t>57</x:t>
  </x:si>
  <x:si>
    <x:t>89</x:t>
  </x:si>
  <x:si>
    <x:t>84</x:t>
  </x:si>
  <x:si>
    <x:t>64</x:t>
  </x:si>
  <x:si>
    <x:t>76</x:t>
  </x:si>
  <x:si>
    <x:t>82</x:t>
  </x:si>
  <x:si>
    <x:t>77</x:t>
  </x:si>
  <x:si>
    <x:t>66</x:t>
  </x:si>
  <x:si>
    <x:t>60</x:t>
  </x:si>
  <x:si>
    <x:t>67</x:t>
  </x:si>
  <x:si>
    <x:t>70</x:t>
  </x:si>
  <x:si>
    <x:t>63</x:t>
  </x:si>
  <x:si>
    <x:t>75</x:t>
  </x:si>
  <x:si>
    <x:t>83</x:t>
  </x:si>
  <x:si>
    <x:t>90</x:t>
  </x:si>
  <x:si>
    <x:t>78</x:t>
  </x:si>
  <x:si>
    <x:t>74</x:t>
  </x:si>
  <x:si>
    <x:t>69</x:t>
  </x:si>
  <x:si>
    <x:t>59</x:t>
  </x:si>
  <x:si>
    <x:t>72</x:t>
  </x:si>
  <x:si>
    <x:t>62</x:t>
  </x:si>
  <x:si>
    <x:t>79</x:t>
  </x:si>
  <x:si>
    <x:t>85</x:t>
  </x:si>
  <x:si>
    <x:t>87</x:t>
  </x:si>
  <x:si>
    <x:t>88</x:t>
  </x:si>
  <x:si>
    <x:t>80</x:t>
  </x:si>
  <x:si>
    <x:t>81</x:t>
  </x:si>
  <x:si>
    <x:t>61</x:t>
  </x:si>
  <x:si>
    <x:t>86</x:t>
  </x:si>
  <x:si>
    <x:t>68</x:t>
  </x:si>
  <x:si>
    <x:t>65</x:t>
  </x:si>
  <x:si>
    <x:t>71</x:t>
  </x:si>
  <x:si>
    <x:t>73</x:t>
  </x:si>
  <x:si>
    <x:t>112</x:t>
  </x:si>
  <x:si>
    <x:t>115</x:t>
  </x:si>
  <x:si>
    <x:t>92</x:t>
  </x:si>
  <x:si>
    <x:t>107</x:t>
  </x:si>
  <x:si>
    <x:t>118</x:t>
  </x:si>
  <x:si>
    <x:t>114</x:t>
  </x:si>
  <x:si>
    <x:t>110</x:t>
  </x:si>
  <x:si>
    <x:t>117</x:t>
  </x:si>
  <x:si>
    <x:t>99</x:t>
  </x:si>
  <x:si>
    <x:t>104</x:t>
  </x:si>
  <x:si>
    <x:t>98</x:t>
  </x:si>
  <x:si>
    <x:t>106</x:t>
  </x:si>
  <x:si>
    <x:t>103</x:t>
  </x:si>
  <x:si>
    <x:t>100</x:t>
  </x:si>
  <x:si>
    <x:t>91</x:t>
  </x:si>
  <x:si>
    <x:t>102</x:t>
  </x:si>
  <x:si>
    <x:t>105</x:t>
  </x:si>
  <x:si>
    <x:t>108</x:t>
  </x:si>
  <x:si>
    <x:t>101</x:t>
  </x:si>
  <x:si>
    <x:t>96</x:t>
  </x:si>
  <x:si>
    <x:t>94</x:t>
  </x:si>
  <x:si>
    <x:t>95</x:t>
  </x:si>
  <x:si>
    <x:t>93</x:t>
  </x:si>
  <x:si>
    <x:t>109</x:t>
  </x:si>
  <x:si>
    <x:t>97</x:t>
  </x:si>
  <x:si>
    <x:t>111</x:t>
  </x:si>
  <x:si>
    <x:t>119</x:t>
  </x:si>
  <x:si>
    <x:t>113</x:t>
  </x:si>
  <x:si>
    <x:t>120</x:t>
  </x:si>
  <x:si>
    <x:t>122</x:t>
  </x:si>
  <x:si>
    <x:t>121</x:t>
  </x:si>
  <x:si>
    <x:t>116</x:t>
  </x:si>
  <x:si>
    <x:t>138</x:t>
  </x:si>
  <x:si>
    <x:t>142</x:t>
  </x:si>
  <x:si>
    <x:t>148</x:t>
  </x:si>
  <x:si>
    <x:t>149</x:t>
  </x:si>
  <x:si>
    <x:t>151</x:t>
  </x:si>
  <x:si>
    <x:t>125</x:t>
  </x:si>
  <x:si>
    <x:t>152</x:t>
  </x:si>
  <x:si>
    <x:t>153</x:t>
  </x:si>
  <x:si>
    <x:t>129</x:t>
  </x:si>
  <x:si>
    <x:t>134</x:t>
  </x:si>
  <x:si>
    <x:t>139</x:t>
  </x:si>
  <x:si>
    <x:t>154</x:t>
  </x:si>
  <x:si>
    <x:t>133</x:t>
  </x:si>
  <x:si>
    <x:t>130</x:t>
  </x:si>
  <x:si>
    <x:t>141</x:t>
  </x:si>
  <x:si>
    <x:t>132</x:t>
  </x:si>
  <x:si>
    <x:t>145</x:t>
  </x:si>
  <x:si>
    <x:t>136</x:t>
  </x:si>
  <x:si>
    <x:t>127</x:t>
  </x:si>
  <x:si>
    <x:t>128</x:t>
  </x:si>
  <x:si>
    <x:t>131</x:t>
  </x:si>
  <x:si>
    <x:t>143</x:t>
  </x:si>
  <x:si>
    <x:t>126</x:t>
  </x:si>
  <x:si>
    <x:t>124</x:t>
  </x:si>
  <x:si>
    <x:t>140</x:t>
  </x:si>
  <x:si>
    <x:t>135</x:t>
  </x:si>
  <x:si>
    <x:t>137</x:t>
  </x:si>
  <x:si>
    <x:t>147</x:t>
  </x:si>
  <x:si>
    <x:t>144</x:t>
  </x:si>
  <x:si>
    <x:t>150</x:t>
  </x:si>
  <x:si>
    <x:t>146</x:t>
  </x:si>
  <x:si>
    <x:t>123</x:t>
  </x:si>
  <x:si>
    <x:t>183</x:t>
  </x:si>
  <x:si>
    <x:t>185</x:t>
  </x:si>
  <x:si>
    <x:t>186</x:t>
  </x:si>
  <x:si>
    <x:t>167</x:t>
  </x:si>
  <x:si>
    <x:t>184</x:t>
  </x:si>
  <x:si>
    <x:t>182</x:t>
  </x:si>
  <x:si>
    <x:t>155</x:t>
  </x:si>
  <x:si>
    <x:t>170</x:t>
  </x:si>
  <x:si>
    <x:t>156</x:t>
  </x:si>
  <x:si>
    <x:t>164</x:t>
  </x:si>
  <x:si>
    <x:t>157</x:t>
  </x:si>
  <x:si>
    <x:t>159</x:t>
  </x:si>
  <x:si>
    <x:t>163</x:t>
  </x:si>
  <x:si>
    <x:t>160</x:t>
  </x:si>
  <x:si>
    <x:t>166</x:t>
  </x:si>
  <x:si>
    <x:t>162</x:t>
  </x:si>
  <x:si>
    <x:t>165</x:t>
  </x:si>
  <x:si>
    <x:t>168</x:t>
  </x:si>
  <x:si>
    <x:t>161</x:t>
  </x:si>
  <x:si>
    <x:t>158</x:t>
  </x:si>
  <x:si>
    <x:t>169</x:t>
  </x:si>
  <x:si>
    <x:t>172</x:t>
  </x:si>
  <x:si>
    <x:t>173</x:t>
  </x:si>
  <x:si>
    <x:t>174</x:t>
  </x:si>
  <x:si>
    <x:t>175</x:t>
  </x:si>
  <x:si>
    <x:t>176</x:t>
  </x:si>
  <x:si>
    <x:t>178</x:t>
  </x:si>
  <x:si>
    <x:t>171</x:t>
  </x:si>
  <x:si>
    <x:t>177</x:t>
  </x:si>
  <x:si>
    <x:t>179</x:t>
  </x:si>
  <x:si>
    <x:t>180</x:t>
  </x:si>
  <x:si>
    <x:t>181</x:t>
  </x:si>
  <x:si>
    <x:t>218</x:t>
  </x:si>
  <x:si>
    <x:t>201</x:t>
  </x:si>
  <x:si>
    <x:t>192</x:t>
  </x:si>
  <x:si>
    <x:t>193</x:t>
  </x:si>
  <x:si>
    <x:t>199</x:t>
  </x:si>
  <x:si>
    <x:t>194</x:t>
  </x:si>
  <x:si>
    <x:t>187</x:t>
  </x:si>
  <x:si>
    <x:t>210</x:t>
  </x:si>
  <x:si>
    <x:t>202</x:t>
  </x:si>
  <x:si>
    <x:t>204</x:t>
  </x:si>
  <x:si>
    <x:t>207</x:t>
  </x:si>
  <x:si>
    <x:t>212</x:t>
  </x:si>
  <x:si>
    <x:t>200</x:t>
  </x:si>
  <x:si>
    <x:t>190</x:t>
  </x:si>
  <x:si>
    <x:t>191</x:t>
  </x:si>
  <x:si>
    <x:t>195</x:t>
  </x:si>
  <x:si>
    <x:t>196</x:t>
  </x:si>
  <x:si>
    <x:t>205</x:t>
  </x:si>
  <x:si>
    <x:t>188</x:t>
  </x:si>
  <x:si>
    <x:t>206</x:t>
  </x:si>
  <x:si>
    <x:t>189</x:t>
  </x:si>
  <x:si>
    <x:t>208</x:t>
  </x:si>
  <x:si>
    <x:t>213</x:t>
  </x:si>
  <x:si>
    <x:t>214</x:t>
  </x:si>
  <x:si>
    <x:t>197</x:t>
  </x:si>
  <x:si>
    <x:t>198</x:t>
  </x:si>
  <x:si>
    <x:t>203</x:t>
  </x:si>
  <x:si>
    <x:t>215</x:t>
  </x:si>
  <x:si>
    <x:t>211</x:t>
  </x:si>
  <x:si>
    <x:t>216</x:t>
  </x:si>
  <x:si>
    <x:t>209</x:t>
  </x:si>
  <x:si>
    <x:t>217</x:t>
  </x:si>
  <x:si>
    <x:t>249</x:t>
  </x:si>
  <x:si>
    <x:t>250</x:t>
  </x:si>
  <x:si>
    <x:t>237</x:t>
  </x:si>
  <x:si>
    <x:t>219</x:t>
  </x:si>
  <x:si>
    <x:t>224</x:t>
  </x:si>
  <x:si>
    <x:t>225</x:t>
  </x:si>
  <x:si>
    <x:t>227</x:t>
  </x:si>
  <x:si>
    <x:t>231</x:t>
  </x:si>
  <x:si>
    <x:t>238</x:t>
  </x:si>
  <x:si>
    <x:t>240</x:t>
  </x:si>
  <x:si>
    <x:t>233</x:t>
  </x:si>
  <x:si>
    <x:t>236</x:t>
  </x:si>
  <x:si>
    <x:t>246</x:t>
  </x:si>
  <x:si>
    <x:t>247</x:t>
  </x:si>
  <x:si>
    <x:t>239</x:t>
  </x:si>
  <x:si>
    <x:t>245</x:t>
  </x:si>
  <x:si>
    <x:t>228</x:t>
  </x:si>
  <x:si>
    <x:t>234</x:t>
  </x:si>
  <x:si>
    <x:t>226</x:t>
  </x:si>
  <x:si>
    <x:t>222</x:t>
  </x:si>
  <x:si>
    <x:t>232</x:t>
  </x:si>
  <x:si>
    <x:t>230</x:t>
  </x:si>
  <x:si>
    <x:t>241</x:t>
  </x:si>
  <x:si>
    <x:t>229</x:t>
  </x:si>
  <x:si>
    <x:t>235</x:t>
  </x:si>
  <x:si>
    <x:t>223</x:t>
  </x:si>
  <x:si>
    <x:t>243</x:t>
  </x:si>
  <x:si>
    <x:t>242</x:t>
  </x:si>
  <x:si>
    <x:t>248</x:t>
  </x:si>
  <x:si>
    <x:t>221</x:t>
  </x:si>
  <x:si>
    <x:t>244</x:t>
  </x:si>
  <x:si>
    <x:t>220</x:t>
  </x:si>
  <x:si>
    <x:t>ㄴ</x:t>
  </x:si>
  <x:si>
    <x:t>251</x:t>
  </x:si>
  <x:si>
    <x:t>본예산</x:t>
  </x:si>
  <x:si>
    <x:t>신규</x:t>
  </x:si>
  <x:si>
    <x:t>전입금</x:t>
  </x:si>
  <x:si>
    <x:t>1추</x:t>
  </x:si>
  <x:si>
    <x:t>집행액</x:t>
  </x:si>
  <x:si>
    <x:t>252</x:t>
  </x:si>
  <x:si>
    <x:t>253</x:t>
  </x:si>
  <x:si>
    <x:t>2추</x:t>
  </x:si>
  <x:si>
    <x:t>예산액</x:t>
  </x:si>
  <x:si>
    <x:r>
      <x:t xml:space="preserve">직접입력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제목 Medium"/>
            <x:sz val="1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경기천년제목 Medium"/>
            <x:sz val="18"/>
            <x:color rgb="ff000000"/>
          </x:rPr>
        </mc:Fallback>
      </mc:AlternateContent>
      <x:t>(도비는 지방채/지역개발기금이 있는 경우만 금액 입력)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제목 Medium"/>
            <x:sz val="2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경기천년제목 Medium"/>
            <x:sz val="20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제목 Medium"/>
            <x:sz val="18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경기천년제목 Medium"/>
            <x:sz val="18"/>
            <x:color rgb="ffff0000"/>
          </x:rPr>
        </mc:Fallback>
      </mc:AlternateContent>
      <x:t>*부기명에 (지방채) 또는 (지역개발기금) 포함시</x:t>
    </x:r>
  </x:si>
  <x:si>
    <x:t>3건</x:t>
  </x:si>
  <x:si>
    <x:r>
      <x:t xml:space="preserve">직접입력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제목 Medium"/>
            <x:sz val="18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경기천년제목 Medium"/>
            <x:sz val="18"/>
            <x:color rgb="ffff0000"/>
          </x:rPr>
        </mc:Fallback>
      </mc:AlternateContent>
      <x:t>(국비 세입이 있는 경우 "5. 기입"시트의 AH열 입력")
※ 매칭 세입이 없는 경우 세입번호에 "세입없음" 기재</x:t>
    </x:r>
  </x:si>
  <x:si>
    <x:t>OK</x:t>
  </x:si>
  <x:si>
    <x:t>@@</x:t>
  </x:si>
  <x:si>
    <x:t>5건</x:t>
  </x:si>
  <x:si>
    <x:t>0건</x:t>
  </x:si>
  <x:si>
    <x:t>X</x:t>
  </x:si>
  <x:si>
    <x:t/>
  </x:si>
  <x:si>
    <x:t>-</x:t>
  </x:si>
  <x:si>
    <x:t>1건</x:t>
  </x:si>
  <x:si>
    <x:t>O</x:t>
  </x:si>
  <x:si>
    <x:t>4건</x:t>
  </x:si>
  <x:si>
    <x:t>국도비</x:t>
  </x:si>
  <x:si>
    <x:t>(자치행정국-총무과)</x:t>
  </x:si>
  <x:si>
    <x:t>세입세출
금액검증</x:t>
  </x:si>
  <x:si>
    <x:t>"4. 특출"에
입력</x:t>
  </x:si>
  <x:si>
    <x:t>240 지난연도수입</x:t>
  </x:si>
  <x:si>
    <x:t>"5. 기출"에
입력</x:t>
  </x:si>
  <x:si>
    <x:t>241 지난연도수입</x:t>
  </x:si>
  <x:si>
    <x:t>국비 매칭 세입 검증</x:t>
  </x:si>
  <x:si>
    <x:t>(판교테크노밸리)</x:t>
  </x:si>
  <x:si>
    <x:t>일출(의존) 계</x:t>
  </x:si>
  <x:si>
    <x:t>(고덕국제화계획지구)</x:t>
  </x:si>
  <x:si>
    <x:t>일출(자체) 계</x:t>
  </x:si>
  <x:si>
    <x:t>상임위
부대의견</x:t>
  </x:si>
  <x:si>
    <x:t>도비 세입=도비 세출</x:t>
  </x:si>
  <x:si>
    <x:t>예산안
(다=가+나)</x:t>
  </x:si>
  <x:si>
    <x:t>도시·주거환경정비기금</x:t>
  </x:si>
  <x:si>
    <x:t>예결특위 
부대의견</x:t>
  </x:si>
  <x:si>
    <x:t>국비 세입=국비 세출</x:t>
  </x:si>
  <x:si>
    <x:t>도비세입= 도비세출</x:t>
  </x:si>
  <x:si>
    <x:t>국비 세입=국비 지출</x:t>
  </x:si>
  <x:si>
    <x:t>AI데이터행정과</x:t>
  </x:si>
  <x:si>
    <x:t>국비세입= 국비세출</x:t>
  </x:si>
  <x:si>
    <x:t>경기도119특수대응단</x:t>
  </x:si>
  <x:si>
    <x:t>AI프런티어정책과</x:t>
  </x:si>
  <x:si>
    <x:t>국비=국비증감액</x:t>
  </x:si>
  <x:si>
    <x:t>(건설국-도로정책과)</x:t>
  </x:si>
  <x:si>
    <x:t>○ 사업기간 변경</x:t>
  </x:si>
  <x:si>
    <x:t>(증감=B-A)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</x:si>
  <x:si>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6"/>
            <x:color rgb="ff000000"/>
            <x:b val="1"/>
          </x:rPr>
        </mc:Fallback>
      </mc:AlternateContent>
      <x:t>사용액=발행액</x:t>
    </x:r>
    <x:r>
      <x:rPr>
        <x:rFont val="맑은 고딕"/>
        <x:sz val="10"/>
        <x:color rgb="ff000000"/>
        <x:b val="1"/>
      </x:rPr>
      <x:t xml:space="preserve">
검증</x:t>
    </x:r>
  </x:si>
  <x:si>
    <x:t>전년도(2025)</x:t>
  </x:si>
  <x:si>
    <x:t>예산과목
(통계목)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</x:si>
  <x:si>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6"/>
            <x:color rgb="ff000000"/>
            <x:b val="1"/>
          </x:rPr>
        </mc:Fallback>
      </mc:AlternateContent>
      <x:t>세입=세출</x:t>
    </x:r>
    <x:r>
      <x:rPr>
        <x:rFont val="맑은 고딕"/>
        <x:sz val="10"/>
        <x:color rgb="ff000000"/>
        <x:b val="1"/>
      </x:rPr>
      <x:t xml:space="preserve">
검증</x:t>
    </x:r>
  </x:si>
  <x:si>
    <x:t>기금→일반,기타</x:t>
  </x:si>
  <x:si>
    <x:t>기타→일반,기타</x:t>
  </x:si>
  <x:si>
    <x:t xml:space="preserve">   예산 수정</x:t>
  </x:si>
  <x:si>
    <x:t xml:space="preserve">     조정 필요</x:t>
  </x:si>
  <x:si>
    <x:t xml:space="preserve">    예산 수정</x:t>
  </x:si>
  <x:si>
    <x:t xml:space="preserve"> 총사업비 증가</x:t>
  </x:si>
  <x:si>
    <x:t>○총사업비 변경</x:t>
  </x:si>
  <x:si>
    <x:t>△500,000</x:t>
  </x:si>
  <x:si>
    <x:t>△150,000</x:t>
  </x:si>
  <x:si>
    <x:t>(자치단체간부담금)</x:t>
  </x:si>
  <x:si>
    <x:t>교육기획과</x:t>
  </x:si>
  <x:si>
    <x:t>감염병연구부</x:t>
  </x:si>
  <x:si>
    <x:t>수질정책과</x:t>
  </x:si>
  <x:si>
    <x:t>물환경연구부</x:t>
  </x:si>
  <x:si>
    <x:t>여성정책과</x:t>
  </x:si>
  <x:si>
    <x:t>수질총량과</x:t>
  </x:si>
  <x:si>
    <x:t>교통정보과</x:t>
  </x:si>
  <x:si>
    <x:t>홍보기획관</x:t>
  </x:si>
  <x:si>
    <x:t>안전관리실</x:t>
  </x:si>
  <x:si>
    <x:t>기타특별회계</x:t>
  </x:si>
  <x:si>
    <x:t>수질관리과</x:t>
  </x:si>
  <x:si>
    <x:t>노동정책과</x:t>
  </x:si>
  <x:si>
    <x:t>평화협력국</x:t>
  </x:si>
  <x:si>
    <x:t>소방재난본부</x:t>
  </x:si>
  <x:si>
    <x:t>동물위생시험소</x:t>
  </x:si>
  <x:si>
    <x:t>사회재난과</x:t>
  </x:si>
  <x:si>
    <x:t>안전특별점검단</x:t>
  </x:si>
  <x:si>
    <x:t>공기업특별회계</x:t>
  </x:si>
  <x:si>
    <x:t>열린민원실</x:t>
  </x:si>
  <x:si>
    <x:t>축산진흥센터</x:t>
  </x:si>
  <x:si>
    <x:t>특별회계</x:t>
  </x:si>
  <x:si>
    <x:t>교육지원과</x:t>
  </x:si>
  <x:si>
    <x:t>비고(???)</x:t>
  </x:si>
  <x:si>
    <x:t>교수운영과</x:t>
  </x:si>
  <x:si>
    <x:t>역량개발지원과</x:t>
  </x:si>
  <x:si>
    <x:t>행정지원과</x:t>
  </x:si>
  <x:si>
    <x:t>지도정책과</x:t>
  </x:si>
  <x:si>
    <x:t>복지정책과</x:t>
  </x:si>
  <x:si>
    <x:t>상하수과</x:t>
  </x:si>
  <x:si>
    <x:t>자연재난과</x:t>
  </x:si>
  <x:si>
    <x:t>일반+기타</x:t>
  </x:si>
  <x:si>
    <x:t>예술정책과</x:t>
  </x:si>
  <x:si>
    <x:t>회계담당관</x:t>
  </x:si>
  <x:si>
    <x:t>공공기관담당관</x:t>
  </x:si>
  <x:si>
    <x:t>농수산물검사부</x:t>
  </x:si>
  <x:si>
    <x:t>해양수산과</x:t>
  </x:si>
  <x:si>
    <x:t>아동돌봄과</x:t>
  </x:si>
  <x:si>
    <x:t>광역교통정책과</x:t>
  </x:si>
  <x:si>
    <x:t>택시교통과</x:t>
  </x:si>
  <x:si>
    <x:t>평화협력과</x:t>
  </x:si>
  <x:si>
    <x:t>인구정책담당관</x:t>
  </x:si>
  <x:si>
    <x:t>자산관리과</x:t>
  </x:si>
  <x:si>
    <x:t>복지사업과</x:t>
  </x:si>
  <x:si>
    <x:t>평생교육과</x:t>
  </x:si>
  <x:si>
    <x:t>노동권익과</x:t>
  </x:si>
  <x:si>
    <x:t>물류항만과</x:t>
  </x:si>
  <x:si>
    <x:t>중앙협력본부</x:t>
  </x:si>
  <x:si>
    <x:t>재난대응과</x:t>
  </x:si>
  <x:si>
    <x:t>경제노동위원회</x:t>
  </x:si>
  <x:si>
    <x:t>구조구급과</x:t>
  </x:si>
  <x:si>
    <x:t>도로안전과</x:t>
  </x:si>
  <x:si>
    <x:t>수원남부소방서</x:t>
  </x:si>
  <x:si>
    <x:t>청소년과</x:t>
  </x:si>
  <x:si>
    <x:t>조세정의과</x:t>
  </x:si>
  <x:si>
    <x:t>보건건강국</x:t>
  </x:si>
  <x:si>
    <x:t>철도정책과</x:t>
  </x:si>
  <x:si>
    <x:t>철도항만물류국</x:t>
  </x:si>
  <x:si>
    <x:t>평화기반조성과</x:t>
  </x:si>
  <x:si>
    <x:t>DMZ정책과</x:t>
  </x:si>
  <x:si>
    <x:t>철도운영과</x:t>
  </x:si>
  <x:si>
    <x:t>전문위원실</x:t>
  </x:si>
  <x:si>
    <x:t>공동체지원과</x:t>
  </x:si>
  <x:si>
    <x:t>인권담당관</x:t>
  </x:si>
  <x:si>
    <x:t>특정업무경비</x:t>
  </x:si>
  <x:si>
    <x:t>203-01</x:t>
  </x:si>
  <x:si>
    <x:t>202-03</x:t>
  </x:si>
  <x:si>
    <x:t>201-01</x:t>
  </x:si>
  <x:si>
    <x:t>국외업무여비</x:t>
  </x:si>
  <x:si>
    <x:t>공정경제과</x:t>
  </x:si>
  <x:si>
    <x:t>101-02</x:t>
  </x:si>
  <x:si>
    <x:t>201-05</x:t>
  </x:si>
  <x:si>
    <x:t>사무관리비</x:t>
  </x:si>
  <x:si>
    <x:t>국제화여비</x:t>
  </x:si>
  <x:si>
    <x:t>월액여비</x:t>
  </x:si>
  <x:si>
    <x:t>202-05</x:t>
  </x:si>
  <x:si>
    <x:t>101-03</x:t>
  </x:si>
  <x:si>
    <x:t>203-02</x:t>
  </x:si>
  <x:si>
    <x:t>정신건강과</x:t>
  </x:si>
  <x:si>
    <x:t>203-04</x:t>
  </x:si>
  <x:si>
    <x:t>201-02</x:t>
  </x:si>
  <x:si>
    <x:t>부대의견</x:t>
  </x:si>
  <x:si>
    <x:t>201-04</x:t>
  </x:si>
  <x:si>
    <x:t>공공운영비</x:t>
  </x:si>
  <x:si>
    <x:t>201-03</x:t>
  </x:si>
  <x:si>
    <x:t>의견 청취</x:t>
  </x:si>
  <x:si>
    <x:t>101-04</x:t>
  </x:si>
  <x:si>
    <x:t>202-02</x:t>
  </x:si>
  <x:si>
    <x:t>총괄 현황</x:t>
  </x:si>
  <x:si>
    <x:t>204-01</x:t>
  </x:si>
  <x:si>
    <x:t>국내여비</x:t>
  </x:si>
  <x:si>
    <x:t>행사운영비</x:t>
  </x:si>
  <x:si>
    <x:t>203-03</x:t>
  </x:si>
  <x:si>
    <x:t>202-04</x:t>
  </x:si>
  <x:si>
    <x:t>(소방안전)</x:t>
  </x:si>
  <x:si>
    <x:t>204-02</x:t>
  </x:si>
  <x:si>
    <x:t>205-06</x:t>
  </x:si>
  <x:si>
    <x:t>301-08</x:t>
  </x:si>
  <x:si>
    <x:t>301-09</x:t>
  </x:si>
  <x:si>
    <x:t>의정활동비</x:t>
  </x:si>
  <x:si>
    <x:t>205-07</x:t>
  </x:si>
  <x:si>
    <x:t>205-10</x:t>
  </x:si>
  <x:si>
    <x:t>의원국외여비</x:t>
  </x:si>
  <x:si>
    <x:t>연구용역비</x:t>
  </x:si>
  <x:si>
    <x:t>전산개발비</x:t>
  </x:si>
  <x:si>
    <x:t>207-01</x:t>
  </x:si>
  <x:si>
    <x:t>206-01</x:t>
  </x:si>
  <x:si>
    <x:t>205-01</x:t>
  </x:si>
  <x:si>
    <x:t>의원국내여비</x:t>
  </x:si>
  <x:si>
    <x:t>시험연구비</x:t>
  </x:si>
  <x:si>
    <x:t>월정수당</x:t>
  </x:si>
  <x:si>
    <x:t>205-03</x:t>
  </x:si>
  <x:si>
    <x:t>301-01</x:t>
  </x:si>
  <x:si>
    <x:t>301-02</x:t>
  </x:si>
  <x:si>
    <x:t>301-05</x:t>
  </x:si>
  <x:si>
    <x:t>205-04</x:t>
  </x:si>
  <x:si>
    <x:t>205-05</x:t>
  </x:si>
  <x:si>
    <x:t>205-08</x:t>
  </x:si>
  <x:si>
    <x:t>301-03</x:t>
  </x:si>
  <x:si>
    <x:t>207-02</x:t>
  </x:si>
  <x:si>
    <x:t>205-09</x:t>
  </x:si>
  <x:si>
    <x:t>205-11</x:t>
  </x:si>
  <x:si>
    <x:t>205-12</x:t>
  </x:si>
  <x:si>
    <x:t>301-07</x:t>
  </x:si>
  <x:si>
    <x:t>205-02</x:t>
  </x:si>
  <x:si>
    <x:t>207-03</x:t>
  </x:si>
  <x:si>
    <x:t>301-04</x:t>
  </x:si>
  <x:si>
    <x:t>301-06</x:t>
  </x:si>
  <x:si>
    <x:t>301-12</x:t>
  </x:si>
  <x:si>
    <x:t>303-01</x:t>
  </x:si>
  <x:si>
    <x:t>301-11</x:t>
  </x:si>
  <x:si>
    <x:t>304-01</x:t>
  </x:si>
  <x:si>
    <x:t>배상금등</x:t>
  </x:si>
  <x:si>
    <x:t>304-02</x:t>
  </x:si>
  <x:si>
    <x:t>연금부담금</x:t>
  </x:si>
  <x:si>
    <x:t>307-02</x:t>
  </x:si>
  <x:si>
    <x:t>307-03</x:t>
  </x:si>
  <x:si>
    <x:t>307-04</x:t>
  </x:si>
  <x:si>
    <x:t>301-10</x:t>
  </x:si>
  <x:si>
    <x:t>민간위탁금</x:t>
  </x:si>
  <x:si>
    <x:t>국민건강보험금</x:t>
  </x:si>
  <x:si>
    <x:t>의원상해부담금</x:t>
  </x:si>
  <x:si>
    <x:t>304-03</x:t>
  </x:si>
  <x:si>
    <x:t>302-01</x:t>
  </x:si>
  <x:si>
    <x:t>305-01</x:t>
  </x:si>
  <x:si>
    <x:t>이차보전금</x:t>
  </x:si>
  <x:si>
    <x:t>운수업계보조금</x:t>
  </x:si>
  <x:si>
    <x:t>307-06</x:t>
  </x:si>
  <x:si>
    <x:t>307-10</x:t>
  </x:si>
  <x:si>
    <x:t>302-02</x:t>
  </x:si>
  <x:si>
    <x:t>307-11</x:t>
  </x:si>
  <x:si>
    <x:t>308-01</x:t>
  </x:si>
  <x:si>
    <x:t>306-01</x:t>
  </x:si>
  <x:si>
    <x:t>307-01</x:t>
  </x:si>
  <x:si>
    <x:t>307-05</x:t>
  </x:si>
  <x:si>
    <x:t>307-07</x:t>
  </x:si>
  <x:si>
    <x:t>연금지급금</x:t>
  </x:si>
  <x:si>
    <x:t>307-09</x:t>
  </x:si>
  <x:si>
    <x:t>307-08</x:t>
  </x:si>
  <x:si>
    <x:t>307-12</x:t>
  </x:si>
  <x:si>
    <x:t>311-01</x:t>
  </x:si>
  <x:si>
    <x:t>401-01</x:t>
  </x:si>
  <x:si>
    <x:t>행사관련시설비</x:t>
  </x:si>
  <x:si>
    <x:t>징수교부금</x:t>
  </x:si>
  <x:si>
    <x:t>308-04</x:t>
  </x:si>
  <x:si>
    <x:t>308-06</x:t>
  </x:si>
  <x:si>
    <x:t>308-02</x:t>
  </x:si>
  <x:si>
    <x:t>308-08</x:t>
  </x:si>
  <x:si>
    <x:t>308-09</x:t>
  </x:si>
  <x:si>
    <x:t>308-03</x:t>
  </x:si>
  <x:si>
    <x:t>309-01</x:t>
  </x:si>
  <x:si>
    <x:t>310-01</x:t>
  </x:si>
  <x:si>
    <x:t>국외경상이전</x:t>
  </x:si>
  <x:si>
    <x:t>311-02</x:t>
  </x:si>
  <x:si>
    <x:t>311-03</x:t>
  </x:si>
  <x:si>
    <x:t>311-05</x:t>
  </x:si>
  <x:si>
    <x:t>시설부대비</x:t>
  </x:si>
  <x:si>
    <x:t>401-04</x:t>
  </x:si>
  <x:si>
    <x:t>310-02</x:t>
  </x:si>
  <x:si>
    <x:t>국제부담금</x:t>
  </x:si>
  <x:si>
    <x:t>401-03</x:t>
  </x:si>
  <x:si>
    <x:t>311-04</x:t>
  </x:si>
  <x:si>
    <x:t>402-01</x:t>
  </x:si>
  <x:si>
    <x:t>308-05</x:t>
  </x:si>
  <x:si>
    <x:t>402-02</x:t>
  </x:si>
  <x:si>
    <x:t>402-03</x:t>
  </x:si>
  <x:si>
    <x:t>403-01</x:t>
  </x:si>
  <x:si>
    <x:t>403-02</x:t>
  </x:si>
  <x:si>
    <x:t>308-07</x:t>
  </x:si>
  <x:si>
    <x:t>403-03</x:t>
  </x:si>
  <x:si>
    <x:t>309-02</x:t>
  </x:si>
  <x:si>
    <x:t>401-02</x:t>
  </x:si>
  <x:si>
    <x:t>704-01</x:t>
  </x:si>
  <x:si>
    <x:t>601-07</x:t>
  </x:si>
  <x:si>
    <x:t>기타자본이전</x:t>
  </x:si>
  <x:si>
    <x:t>501-02</x:t>
  </x:si>
  <x:si>
    <x:t>501-03</x:t>
  </x:si>
  <x:si>
    <x:t>601-06</x:t>
  </x:si>
  <x:si>
    <x:t>703-01</x:t>
  </x:si>
  <x:si>
    <x:t>민간융자금</x:t>
  </x:si>
  <x:si>
    <x:t>601-02</x:t>
  </x:si>
  <x:si>
    <x:t>602-01</x:t>
  </x:si>
  <x:si>
    <x:t>국외자본이전</x:t>
  </x:si>
  <x:si>
    <x:t>602-02</x:t>
  </x:si>
  <x:si>
    <x:t>404-01</x:t>
  </x:si>
  <x:si>
    <x:t>405-01</x:t>
  </x:si>
  <x:si>
    <x:t>405-02</x:t>
  </x:si>
  <x:si>
    <x:t>도서구입비</x:t>
  </x:si>
  <x:si>
    <x:t>406-01</x:t>
  </x:si>
  <x:si>
    <x:t>501-04</x:t>
  </x:si>
  <x:si>
    <x:t>701-01</x:t>
  </x:si>
  <x:si>
    <x:t>601-01</x:t>
  </x:si>
  <x:si>
    <x:t>701-02</x:t>
  </x:si>
  <x:si>
    <x:t>702-01</x:t>
  </x:si>
  <x:si>
    <x:t>701-03</x:t>
  </x:si>
  <x:si>
    <x:t>기금전출금</x:t>
  </x:si>
  <x:si>
    <x:t>407-01</x:t>
  </x:si>
  <x:si>
    <x:t>501-01</x:t>
  </x:si>
  <x:si>
    <x:t>502-01</x:t>
  </x:si>
  <x:si>
    <x:t>601-03</x:t>
  </x:si>
  <x:si>
    <x:t>601-04</x:t>
  </x:si>
  <x:si>
    <x:t>차관상환</x:t>
  </x:si>
  <x:si>
    <x:t>601-05</x:t>
  </x:si>
  <x:si>
    <x:t>703-02</x:t>
  </x:si>
  <x:si>
    <x:t>감가상각비</x:t>
  </x:si>
  <x:si>
    <x:t>연구개발비</x:t>
  </x:si>
  <x:si>
    <x:t>민간자본이전</x:t>
  </x:si>
  <x:si>
    <x:t>당기순이익</x:t>
  </x:si>
  <x:si>
    <x:t>국외이전</x:t>
  </x:si>
  <x:si>
    <x:t>801-02</x:t>
  </x:si>
  <x:si>
    <x:t>705-03</x:t>
  </x:si>
  <x:si>
    <x:t>706-03</x:t>
  </x:si>
  <x:si>
    <x:t>일반운영비</x:t>
  </x:si>
  <x:si>
    <x:t>차입금원금상환</x:t>
  </x:si>
  <x:si>
    <x:t>802-04</x:t>
  </x:si>
  <x:si>
    <x:t>자산취득비</x:t>
  </x:si>
  <x:si>
    <x:t>705-01</x:t>
  </x:si>
  <x:si>
    <x:t>706-01</x:t>
  </x:si>
  <x:si>
    <x:t>민간이전</x:t>
  </x:si>
  <x:si>
    <x:t>802-03</x:t>
  </x:si>
  <x:si>
    <x:t>직무수행경비</x:t>
  </x:si>
  <x:si>
    <x:t>내부유보금</x:t>
  </x:si>
  <x:si>
    <x:t>일반보전금</x:t>
  </x:si>
  <x:si>
    <x:t>705-02</x:t>
  </x:si>
  <x:si>
    <x:t>705-04</x:t>
  </x:si>
  <x:si>
    <x:t>801-03</x:t>
  </x:si>
  <x:si>
    <x:t>802-01</x:t>
  </x:si>
  <x:si>
    <x:t>802-02</x:t>
  </x:si>
  <x:si>
    <x:t>일반예비비</x:t>
  </x:si>
  <x:si>
    <x:t>기타내부거래</x:t>
  </x:si>
  <x:si>
    <x:t>반환금기타</x:t>
  </x:si>
  <x:si>
    <x:t>801-01</x:t>
  </x:si>
  <x:si>
    <x:t>업무추진비</x:t>
  </x:si>
  <x:si>
    <x:t>배상금 등</x:t>
  </x:si>
  <x:si>
    <x:t>706-02</x:t>
  </x:si>
  <x:si>
    <x:t>통계목코드</x:t>
  </x:si>
  <x:si>
    <x:t>711 잉여금</x:t>
  </x:si>
  <x:si>
    <x:t>212-09</x:t>
  </x:si>
  <x:si>
    <x:t>611 차입금</x:t>
  </x:si>
  <x:si>
    <x:t>110 지방세</x:t>
  </x:si>
  <x:si>
    <x:t>112 목적세</x:t>
  </x:si>
  <x:si>
    <x:t>233 변상금</x:t>
  </x:si>
  <x:si>
    <x:t>234 과태료</x:t>
  </x:si>
  <x:si>
    <x:t>721 전입금</x:t>
  </x:si>
  <x:si>
    <x:t>111-02</x:t>
  </x:si>
  <x:si>
    <x:t>211-01</x:t>
  </x:si>
  <x:si>
    <x:t>236 부담금</x:t>
  </x:si>
  <x:si>
    <x:t>111-06</x:t>
  </x:si>
  <x:si>
    <x:t>111-09</x:t>
  </x:si>
  <x:si>
    <x:t>231 과징금</x:t>
  </x:si>
  <x:si>
    <x:t>211-02</x:t>
  </x:si>
  <x:si>
    <x:t>112-02</x:t>
  </x:si>
  <x:si>
    <x:t>212-01</x:t>
  </x:si>
  <x:si>
    <x:t>212-02</x:t>
  </x:si>
  <x:si>
    <x:t>111-07</x:t>
  </x:si>
  <x:si>
    <x:t>111-03</x:t>
  </x:si>
  <x:si>
    <x:t>212-03</x:t>
  </x:si>
  <x:si>
    <x:t>111-04</x:t>
  </x:si>
  <x:si>
    <x:t>212-04</x:t>
  </x:si>
  <x:si>
    <x:t>500 보조금</x:t>
  </x:si>
  <x:si>
    <x:t>235 환수금</x:t>
  </x:si>
  <x:si>
    <x:t>600 지방채</x:t>
  </x:si>
  <x:si>
    <x:t>111 보통세</x:t>
  </x:si>
  <x:si>
    <x:t>111-08</x:t>
  </x:si>
  <x:si>
    <x:t>111-01</x:t>
  </x:si>
  <x:si>
    <x:t>212-05</x:t>
  </x:si>
  <x:si>
    <x:t>212-07</x:t>
  </x:si>
  <x:si>
    <x:t>212-08</x:t>
  </x:si>
  <x:si>
    <x:t>222-01</x:t>
  </x:si>
  <x:si>
    <x:t>232-01</x:t>
  </x:si>
  <x:si>
    <x:t>234-02</x:t>
  </x:si>
  <x:si>
    <x:t>216-01</x:t>
  </x:si>
  <x:si>
    <x:t>224-01</x:t>
  </x:si>
  <x:si>
    <x:t>236-01</x:t>
  </x:si>
  <x:si>
    <x:t>411-01</x:t>
  </x:si>
  <x:si>
    <x:t>411-03</x:t>
  </x:si>
  <x:si>
    <x:t>233-01</x:t>
  </x:si>
  <x:si>
    <x:t>234-01</x:t>
  </x:si>
  <x:si>
    <x:t>216-03</x:t>
  </x:si>
  <x:si>
    <x:t>221-02</x:t>
  </x:si>
  <x:si>
    <x:t>231-01</x:t>
  </x:si>
  <x:si>
    <x:t>421-02</x:t>
  </x:si>
  <x:si>
    <x:t>421-03</x:t>
  </x:si>
  <x:si>
    <x:t>213-03</x:t>
  </x:si>
  <x:si>
    <x:t>511-01</x:t>
  </x:si>
  <x:si>
    <x:t>213-04</x:t>
  </x:si>
  <x:si>
    <x:t>214-05</x:t>
  </x:si>
  <x:si>
    <x:t>224-02</x:t>
  </x:si>
  <x:si>
    <x:t>221-04</x:t>
  </x:si>
  <x:si>
    <x:t>223-01</x:t>
  </x:si>
  <x:si>
    <x:t>214-03</x:t>
  </x:si>
  <x:si>
    <x:t>221-01</x:t>
  </x:si>
  <x:si>
    <x:t>214-04</x:t>
  </x:si>
  <x:si>
    <x:t>213-05</x:t>
  </x:si>
  <x:si>
    <x:t>214-01</x:t>
  </x:si>
  <x:si>
    <x:t>216-02</x:t>
  </x:si>
  <x:si>
    <x:t>221-03</x:t>
  </x:si>
  <x:si>
    <x:t>224-03</x:t>
  </x:si>
  <x:si>
    <x:t>224-04</x:t>
  </x:si>
  <x:si>
    <x:t>224-06</x:t>
  </x:si>
  <x:si>
    <x:t>721-03</x:t>
  </x:si>
  <x:si>
    <x:t>국유재산임대료</x:t>
  </x:si>
  <x:si>
    <x:t>도로사용료</x:t>
  </x:si>
  <x:si>
    <x:t>612-02</x:t>
  </x:si>
  <x:si>
    <x:t>713-01</x:t>
  </x:si>
  <x:si>
    <x:t>712-03</x:t>
  </x:si>
  <x:si>
    <x:t>612-03</x:t>
  </x:si>
  <x:si>
    <x:t>722-02</x:t>
  </x:si>
  <x:si>
    <x:t>721-05</x:t>
  </x:si>
  <x:si>
    <x:t>하천사용료</x:t>
  </x:si>
  <x:si>
    <x:t>721-02</x:t>
  </x:si>
  <x:si>
    <x:t>공유재산임대료</x:t>
  </x:si>
  <x:si>
    <x:t>612-01</x:t>
  </x:si>
  <x:si>
    <x:t>621-01</x:t>
  </x:si>
  <x:si>
    <x:t>하수도사용료</x:t>
  </x:si>
  <x:si>
    <x:t>611-04</x:t>
  </x:si>
  <x:si>
    <x:t>714-01</x:t>
  </x:si>
  <x:si>
    <x:t>지역자원시설세</x:t>
  </x:si>
  <x:si>
    <x:t>상수도사용료</x:t>
  </x:si>
  <x:si>
    <x:t>공유수면사용료</x:t>
  </x:si>
  <x:si>
    <x:t>613-01</x:t>
  </x:si>
  <x:si>
    <x:t>521-01</x:t>
  </x:si>
  <x:si>
    <x:t>611-02</x:t>
  </x:si>
  <x:si>
    <x:t>712-01</x:t>
  </x:si>
  <x:si>
    <x:t>511-02</x:t>
  </x:si>
  <x:si>
    <x:t>712-02</x:t>
  </x:si>
  <x:si>
    <x:t>721-01</x:t>
  </x:si>
  <x:si>
    <x:t>713-03</x:t>
  </x:si>
  <x:si>
    <x:t>722-04</x:t>
  </x:si>
  <x:si>
    <x:t>711-01</x:t>
  </x:si>
  <x:si>
    <x:t>등록면허세</x:t>
  </x:si>
  <x:si>
    <x:t>담배소비세</x:t>
  </x:si>
  <x:si>
    <x:t>특별교부세</x:t>
  </x:si>
  <x:si>
    <x:t>보상금수납금</x:t>
  </x:si>
  <x:si>
    <x:t>청산금수입</x:t>
  </x:si>
  <x:si>
    <x:t>정부자금채</x:t>
  </x:si>
  <x:si>
    <x:t>보통교부세</x:t>
  </x:si>
  <x:si>
    <x:t>주차요금수입</x:t>
  </x:si>
  <x:si>
    <x:t>매각사업수입</x:t>
  </x:si>
  <x:si>
    <x:t>증지수입</x:t>
  </x:si>
  <x:si>
    <x:t>부동산교부세</x:t>
  </x:si>
  <x:si>
    <x:t>기부금수입</x:t>
  </x:si>
  <x:si>
    <x:t>소방안전교부세</x:t>
  </x:si>
  <x:si>
    <x:t>예수금수입</x:t>
  </x:si>
  <x:si>
    <x:t>기타사업수입</x:t>
  </x:si>
  <x:si>
    <x:t>배당금수입</x:t>
  </x:si>
  <x:si>
    <x:t>부정이익환수금</x:t>
  </x:si>
  <x:si>
    <x:t>예치금회수</x:t>
  </x:si>
  <x:si>
    <x:t>차량관련과태료</x:t>
  </x:si>
  <x:si>
    <x:t>매출공채</x:t>
  </x:si>
  <x:si>
    <x:t>기타과태료</x:t>
  </x:si>
  <x:si>
    <x:t>징수교부금수입</x:t>
  </x:si>
  <x:si>
    <x:t>기타사용료</x:t>
  </x:si>
  <x:si>
    <x:t>국고보조금</x:t>
  </x:si>
  <x:si>
    <x:t>금융기관채</x:t>
  </x:si>
  <x:si>
    <x:t>기타이자수입</x:t>
  </x:si>
  <x:si>
    <x:t>입장료수입</x:t>
  </x:si>
  <x:si>
    <x:t>시장사용료</x:t>
  </x:si>
  <x:si>
    <x:t>이행강제금</x:t>
  </x:si>
  <x:si>
    <x:t>그외수입</x:t>
  </x:si>
  <x:si>
    <x:t>체납처분수입</x:t>
  </x:si>
  <x:si>
    <x:t>모집공채</x:t>
  </x:si>
  <x:si>
    <x:t>기금전입금</x:t>
  </x:si>
  <x:si>
    <x:t>시도비보조금등</x:t>
  </x:si>
  <x:si>
    <x:t>세부사업명</x:t>
  </x:si>
  <x:si>
    <x:t>지방소득세</x:t>
  </x:si>
  <x:si>
    <x:t>(도시재생)</x:t>
  </x:si>
  <x:si>
    <x:t>자동차세</x:t>
  </x:si>
  <x:si>
    <x:t>112-01</x:t>
  </x:si>
  <x:si>
    <x:t>지방교육세</x:t>
  </x:si>
  <x:si>
    <x:t>체육진흥기금</x:t>
  </x:si>
  <x:si>
    <x:t>212-06</x:t>
  </x:si>
  <x:si>
    <x:t>주거복지기금</x:t>
  </x:si>
  <x:si>
    <x:t>213-01</x:t>
  </x:si>
  <x:si>
    <x:t>213-02</x:t>
  </x:si>
  <x:si>
    <x:t>사업장생산수입</x:t>
  </x:si>
  <x:si>
    <x:t>214-02</x:t>
  </x:si>
  <x:si>
    <x:t>215-01</x:t>
  </x:si>
  <x:si>
    <x:t>223-02</x:t>
  </x:si>
  <x:si>
    <x:t>(팔당호관리)</x:t>
  </x:si>
  <x:si>
    <x:t>기타수수료</x:t>
  </x:si>
  <x:si>
    <x:t>사회적경제기금</x:t>
  </x:si>
  <x:si>
    <x:t>기본금융기금</x:t>
  </x:si>
  <x:si>
    <x:t>환경보전기금</x:t>
  </x:si>
  <x:si>
    <x:t>재해구호기금</x:t>
  </x:si>
  <x:si>
    <x:t>성평등기금</x:t>
  </x:si>
  <x:si>
    <x:t>청소년육성기금</x:t>
  </x:si>
  <x:si>
    <x:t>지방소비세</x:t>
  </x:si>
  <x:si>
    <x:t>말산업육성기금</x:t>
  </x:si>
  <x:si>
    <x:t>지역개발기금</x:t>
  </x:si>
  <x:si>
    <x:t>노동복지기금</x:t>
  </x:si>
  <x:si>
    <x:t>재난관리기금</x:t>
  </x:si>
  <x:si>
    <x:t>식품진흥기금</x:t>
  </x:si>
  <x:si>
    <x:t>111-05</x:t>
  </x:si>
  <x:si>
    <x:t>보건의료수수료</x:t>
  </x:si>
  <x:si>
    <x:t>도시재생과</x:t>
  </x:si>
  <x:si>
    <x:t>소상공인과</x:t>
  </x:si>
  <x:si>
    <x:t>건설안전기술과</x:t>
  </x:si>
  <x:si>
    <x:t>소방감사과</x:t>
  </x:si>
  <x:si>
    <x:t>인사담당관</x:t>
  </x:si>
  <x:si>
    <x:t>715-02</x:t>
  </x:si>
  <x:si>
    <x:t>511-03</x:t>
  </x:si>
  <x:si>
    <x:t>국외차입금</x:t>
  </x:si>
  <x:si>
    <x:t>순세계잉여금</x:t>
  </x:si>
  <x:si>
    <x:t>715-01</x:t>
  </x:si>
  <x:si>
    <x:t>411-02</x:t>
  </x:si>
  <x:si>
    <x:t>713-04</x:t>
  </x:si>
  <x:si>
    <x:t>421-01</x:t>
  </x:si>
  <x:si>
    <x:t>713-02</x:t>
  </x:si>
  <x:si>
    <x:t>택지개발과</x:t>
  </x:si>
  <x:si>
    <x:t>224-05</x:t>
  </x:si>
  <x:si>
    <x:t>224-07</x:t>
  </x:si>
  <x:si>
    <x:t>소멸대응기금</x:t>
  </x:si>
  <x:si>
    <x:t>611-03</x:t>
  </x:si>
  <x:si>
    <x:t>신도시기획과</x:t>
  </x:si>
  <x:si>
    <x:t>611-01</x:t>
  </x:si>
  <x:si>
    <x:t>공간전략과</x:t>
  </x:si>
  <x:si>
    <x:t>321-01</x:t>
  </x:si>
  <x:si>
    <x:t>토지정보과</x:t>
  </x:si>
  <x:si>
    <x:t>주택정책과</x:t>
  </x:si>
  <x:si>
    <x:t>공동주택과</x:t>
  </x:si>
  <x:si>
    <x:t>지역금융과</x:t>
  </x:si>
  <x:si>
    <x:t>721-04</x:t>
  </x:si>
  <x:si>
    <x:t>722-03</x:t>
  </x:si>
  <x:si>
    <x:t>235-01</x:t>
  </x:si>
  <x:si>
    <x:t>도시정책과</x:t>
  </x:si>
  <x:si>
    <x:t>교부공채</x:t>
  </x:si>
  <x:si>
    <x:t>722-01</x:t>
  </x:si>
  <x:si>
    <x:t>규제개혁과</x:t>
  </x:si>
  <x:si>
    <x:t>기후환경정책과</x:t>
  </x:si>
  <x:si>
    <x:t>304-04</x:t>
  </x:si>
  <x:si>
    <x:t>예수금원금상환</x:t>
  </x:si>
  <x:si>
    <x:t>남부기획조정과</x:t>
  </x:si>
  <x:si>
    <x:t>101-01</x:t>
  </x:si>
  <x:si>
    <x:t>202-01</x:t>
  </x:si>
  <x:si>
    <x:t>정책홍보담당관</x:t>
  </x:si>
  <x:si>
    <x:t>관광산업과</x:t>
  </x:si>
  <x:si>
    <x:t>도민소통담당관</x:t>
  </x:si>
  <x:si>
    <x:t>고용평등과</x:t>
  </x:si>
  <x:si>
    <x:t>반려동물과</x:t>
  </x:si>
  <x:si>
    <x:t>기타직보수</x:t>
  </x:si>
  <x:si>
    <x:t>콘텐츠산업과</x:t>
  </x:si>
  <x:si>
    <x:t>소통협치관</x:t>
  </x:si>
  <x:si>
    <x:t>기타회계전출금</x:t>
  </x:si>
  <x:si>
    <x:t>생활안전담당관</x:t>
  </x:si>
  <x:si>
    <x:t>예수금이자상환</x:t>
  </x:si>
  <x:si>
    <x:t>동물복지과</x:t>
  </x:si>
  <x:si>
    <x:t>기타반환금 등</x:t>
  </x:si>
  <x:si>
    <x:t>산업입지과</x:t>
  </x:si>
  <x:si>
    <x:t>통계목명</x:t>
  </x:si>
  <x:si>
    <x:t>북부기획조정과</x:t>
  </x:si>
  <x:si>
    <x:t>일반예치금</x:t>
  </x:si>
  <x:si>
    <x:t>의원정책개발비</x:t>
  </x:si>
  <x:si>
    <x:t>민간위탁사업비</x:t>
  </x:si>
  <x:si>
    <x:t>의무예치금</x:t>
  </x:si>
  <x:si>
    <x:t>기회전략담당관</x:t>
  </x:si>
  <x:si>
    <x:t>체육진흥과</x:t>
  </x:si>
  <x:si>
    <x:t>회계장비담당관</x:t>
  </x:si>
  <x:si>
    <x:t>군협력담당관</x:t>
  </x:si>
  <x:si>
    <x:t>노동안전과</x:t>
  </x:si>
  <x:si>
    <x:t>정원산업과</x:t>
  </x:si>
  <x:si>
    <x:t>바이오산업과</x:t>
  </x:si>
  <x:si>
    <x:t>청년기회과</x:t>
  </x:si>
  <x:si>
    <x:t>디지털혁신과</x:t>
  </x:si>
  <x:si>
    <x:t>축산동물복지국</x:t>
  </x:si>
  <x:si>
    <x:t>장학금및학자금</x:t>
  </x:si>
  <x:si>
    <x:t>외빈초청여비</x:t>
  </x:si>
  <x:si>
    <x:t>기타보상금</x:t>
  </x:si>
  <x:si>
    <x:t>위탁비반환수입</x:t>
  </x:si>
  <x:si>
    <x:t>301-14</x:t>
  </x:si>
  <x:si>
    <x:t>행사실비지원금</x:t>
  </x:si>
  <x:si>
    <x:t>308-10</x:t>
  </x:si>
  <x:si>
    <x:t>237-01</x:t>
  </x:si>
  <x:si>
    <x:t>공립대학운영비</x:t>
  </x:si>
  <x:si>
    <x:t>벤처스타트업과</x:t>
  </x:si>
  <x:si>
    <x:t>미래성장산업국</x:t>
  </x:si>
  <x:si>
    <x:t>의료및회복비</x:t>
  </x:si>
  <x:si>
    <x:t>308-14</x:t>
  </x:si>
  <x:si>
    <x:t>308-12</x:t>
  </x:si>
  <x:si>
    <x:t>223-03</x:t>
  </x:si>
  <x:si>
    <x:t>308-13</x:t>
  </x:si>
  <x:si>
    <x:t>반도체산업과</x:t>
  </x:si>
  <x:si>
    <x:t>308-11</x:t>
  </x:si>
  <x:si>
    <x:t>산림녹지과</x:t>
  </x:si>
  <x:si>
    <x:t>301-13</x:t>
  </x:si>
  <x:si>
    <x:t>민간인국외여비</x:t>
  </x:si>
  <x:si>
    <x:t>사회성과보상금</x:t>
  </x:si>
  <x:si>
    <x:t>237 범칙금</x:t>
  </x:si>
  <x:si>
    <x:t>기타부담금</x:t>
  </x:si>
  <x:si>
    <x:t>에너지산업과</x:t>
  </x:si>
  <x:si>
    <x:t>403-04</x:t>
  </x:si>
  <x:si>
    <x:t>241-01</x:t>
  </x:si>
  <x:si>
    <x:t>특별사법경찰단</x:t>
  </x:si>
  <x:si>
    <x:t>상임위 증감액</x:t>
  </x:si>
  <x:si>
    <x:t>환경보건안전과</x:t>
  </x:si>
  <x:si>
    <x:t>감염병관리과</x:t>
  </x:si>
  <x:si>
    <x:t>문화정책과</x:t>
  </x:si>
  <x:si>
    <x:t>미래평생교육국</x:t>
  </x:si>
  <x:si>
    <x:t>의료자원과</x:t>
  </x:si>
  <x:si>
    <x:t>총괄기획과</x:t>
  </x:si>
  <x:si>
    <x:t>특례정책과</x:t>
  </x:si>
  <x:si>
    <x:t>응급의료과</x:t>
  </x:si>
  <x:si>
    <x:t>건설정책과</x:t>
  </x:si>
  <x:si>
    <x:t>기업육성과</x:t>
  </x:si>
  <x:si>
    <x:t>AI산업육성과</x:t>
  </x:si>
  <x:si>
    <x:t>에너지관리과</x:t>
  </x:si>
  <x:si>
    <x:t>대기환경관리과</x:t>
  </x:si>
  <x:si>
    <x:t>기후환경관리과</x:t>
  </x:si>
  <x:si>
    <x:t>사회혁신기획과</x:t>
  </x:si>
  <x:si>
    <x:t>이민사회국</x:t>
  </x:si>
  <x:si>
    <x:t>국제협력정책과</x:t>
  </x:si>
  <x:si>
    <x:t>이민사회정책과</x:t>
  </x:si>
  <x:si>
    <x:t>국제협력국</x:t>
  </x:si>
  <x:si>
    <x:t>국제통상과</x:t>
  </x:si>
  <x:si>
    <x:t>사회혁신경제국</x:t>
  </x:si>
  <x:si>
    <x:t>종교협력과</x:t>
  </x:si>
  <x:si>
    <x:t>투자진흥과</x:t>
  </x:si>
  <x:si>
    <x:t>화재예방과</x:t>
  </x:si>
  <x:si>
    <x:t>코드(숫자)</x:t>
  </x:si>
  <x:si>
    <x:t>보건의료정책과</x:t>
  </x:si>
  <x:si>
    <x:t>가족정책과</x:t>
  </x:si>
  <x:si>
    <x:t>버스관리과</x:t>
  </x:si>
  <x:si>
    <x:t>이민사회지원과</x:t>
  </x:si>
  <x:si>
    <x:t>용인서부소방서</x:t>
  </x:si>
  <x:si>
    <x:t>감사총괄과</x:t>
  </x:si>
  <x:si>
    <x:t>감사2과</x:t>
  </x:si>
  <x:si>
    <x:t>세출 재원</x:t>
  </x:si>
  <x:si>
    <x:t>실국
부서코드</x:t>
  </x:si>
  <x:si>
    <x:t>계약심사과</x:t>
  </x:si>
  <x:si>
    <x:t>자산개발과</x:t>
  </x:si>
  <x:si>
    <x:t>예결위 증감액</x:t>
  </x:si>
  <x:si>
    <x:t>(순환경제)</x:t>
  </x:si>
  <x:si>
    <x:t>지난연도수입</x:t>
  </x:si>
  <x:si>
    <x:t>기후대기연구부</x:t>
  </x:si>
  <x:si>
    <x:t>기후대응기금</x:t>
  </x:si>
  <x:si>
    <x:t>생활환경연구부</x:t>
  </x:si>
  <x:si>
    <x:t>도시개발국</x:t>
  </x:si>
  <x:si>
    <x:t>전국체전추진단</x:t>
  </x:si>
  <x:si>
    <x:t>경기도서관</x:t>
  </x:si>
  <x:si>
    <x:t>금액 검증</x:t>
  </x:si>
  <x:si>
    <x:t>세출
재원</x:t>
  </x:si>
  <x:si>
    <x:t>운영기획부</x:t>
  </x:si>
  <x:si>
    <x:t>세입
번호</x:t>
  </x:si>
  <x:si>
    <x:t>통계목
코드</x:t>
  </x:si>
  <x:si>
    <x:t>AI인프라과</x:t>
  </x:si>
  <x:si>
    <x:t>건축정책과</x:t>
  </x:si>
  <x:si>
    <x:t>언론홍보과</x:t>
  </x:si>
  <x:si>
    <x:t>디지털의사과</x:t>
  </x:si>
  <x:si>
    <x:t>고향사랑기금</x:t>
  </x:si>
  <x:si>
    <x:t>재원
검증</x:t>
  </x:si>
  <x:si>
    <x:t>자동입력</x:t>
  </x:si>
  <x:si>
    <x:t>감사1과</x:t>
  </x:si>
  <x:si>
    <x:t>10605</x:t>
  </x:si>
  <x:si>
    <x:t>10701</x:t>
  </x:si>
  <x:si>
    <x:t>10301</x:t>
  </x:si>
  <x:si>
    <x:t>10502</x:t>
  </x:si>
  <x:si>
    <x:t>10606</x:t>
  </x:si>
  <x:si>
    <x:t>농업기술원</x:t>
  </x:si>
  <x:si>
    <x:t>10401</x:t>
  </x:si>
  <x:si>
    <x:t>공간정보화과</x:t>
  </x:si>
  <x:si>
    <x:t>10601</x:t>
  </x:si>
  <x:si>
    <x:t>10602</x:t>
  </x:si>
  <x:si>
    <x:t>10101</x:t>
  </x:si>
  <x:si>
    <x:t>10202</x:t>
  </x:si>
  <x:si>
    <x:t>수자원본부</x:t>
  </x:si>
  <x:si>
    <x:t>10702</x:t>
  </x:si>
  <x:si>
    <x:t>10402</x:t>
  </x:si>
  <x:si>
    <x:t>10403</x:t>
  </x:si>
  <x:si>
    <x:t>10504</x:t>
  </x:si>
  <x:si>
    <x:t>10102</x:t>
  </x:si>
  <x:si>
    <x:t>보건환경연구원</x:t>
  </x:si>
  <x:si>
    <x:t>건설본부</x:t>
  </x:si>
  <x:si>
    <x:t>10503</x:t>
  </x:si>
  <x:si>
    <x:t>10505</x:t>
  </x:si>
  <x:si>
    <x:t>10507</x:t>
  </x:si>
  <x:si>
    <x:t>10201</x:t>
  </x:si>
  <x:si>
    <x:t>의정지원과</x:t>
  </x:si>
  <x:si>
    <x:t>인재개발원</x:t>
  </x:si>
  <x:si>
    <x:t>10404</x:t>
  </x:si>
  <x:si>
    <x:t>예산분석과</x:t>
  </x:si>
  <x:si>
    <x:t>10501</x:t>
  </x:si>
  <x:si>
    <x:t>10506</x:t>
  </x:si>
  <x:si>
    <x:t>10603</x:t>
  </x:si>
  <x:si>
    <x:t>10604</x:t>
  </x:si>
  <x:si>
    <x:t>11006</x:t>
  </x:si>
  <x:si>
    <x:t>10902</x:t>
  </x:si>
  <x:si>
    <x:t>10802</x:t>
  </x:si>
  <x:si>
    <x:t>10808</x:t>
  </x:si>
  <x:si>
    <x:t>10711</x:t>
  </x:si>
  <x:si>
    <x:t>10803</x:t>
  </x:si>
  <x:si>
    <x:t>10707</x:t>
  </x:si>
  <x:si>
    <x:t>10706</x:t>
  </x:si>
  <x:si>
    <x:t>10903</x:t>
  </x:si>
  <x:si>
    <x:t>11004</x:t>
  </x:si>
  <x:si>
    <x:t>11007</x:t>
  </x:si>
  <x:si>
    <x:t>14001</x:t>
  </x:si>
  <x:si>
    <x:t>10901</x:t>
  </x:si>
  <x:si>
    <x:t>14002</x:t>
  </x:si>
  <x:si>
    <x:t>10804</x:t>
  </x:si>
  <x:si>
    <x:t>10805</x:t>
  </x:si>
  <x:si>
    <x:t>10705</x:t>
  </x:si>
  <x:si>
    <x:t>10905</x:t>
  </x:si>
  <x:si>
    <x:t>14003</x:t>
  </x:si>
  <x:si>
    <x:t>10703</x:t>
  </x:si>
  <x:si>
    <x:t>10801</x:t>
  </x:si>
  <x:si>
    <x:t>10708</x:t>
  </x:si>
  <x:si>
    <x:t>10709</x:t>
  </x:si>
  <x:si>
    <x:t>10704</x:t>
  </x:si>
  <x:si>
    <x:t>10806</x:t>
  </x:si>
  <x:si>
    <x:t>10807</x:t>
  </x:si>
  <x:si>
    <x:t>10904</x:t>
  </x:si>
  <x:si>
    <x:t>11001</x:t>
  </x:si>
  <x:si>
    <x:t>11002</x:t>
  </x:si>
  <x:si>
    <x:t>11003</x:t>
  </x:si>
  <x:si>
    <x:t>10710</x:t>
  </x:si>
  <x:si>
    <x:t>11005</x:t>
  </x:si>
  <x:si>
    <x:t>14004</x:t>
  </x:si>
  <x:si>
    <x:t>20401</x:t>
  </x:si>
  <x:si>
    <x:t>16005</x:t>
  </x:si>
  <x:si>
    <x:t>20402</x:t>
  </x:si>
  <x:si>
    <x:t>17001</x:t>
  </x:si>
  <x:si>
    <x:t>20301</x:t>
  </x:si>
  <x:si>
    <x:t>16002</x:t>
  </x:si>
  <x:si>
    <x:t>20101</x:t>
  </x:si>
  <x:si>
    <x:t>30602</x:t>
  </x:si>
  <x:si>
    <x:t>20403</x:t>
  </x:si>
  <x:si>
    <x:t>16006</x:t>
  </x:si>
  <x:si>
    <x:t>16001</x:t>
  </x:si>
  <x:si>
    <x:t>16003</x:t>
  </x:si>
  <x:si>
    <x:t>16004</x:t>
  </x:si>
  <x:si>
    <x:t>15004</x:t>
  </x:si>
  <x:si>
    <x:t>14006</x:t>
  </x:si>
  <x:si>
    <x:t>20201</x:t>
  </x:si>
  <x:si>
    <x:t>20102</x:t>
  </x:si>
  <x:si>
    <x:t>17002</x:t>
  </x:si>
  <x:si>
    <x:t>20104</x:t>
  </x:si>
  <x:si>
    <x:t>20302</x:t>
  </x:si>
  <x:si>
    <x:t>20203</x:t>
  </x:si>
  <x:si>
    <x:t>20303</x:t>
  </x:si>
  <x:si>
    <x:t>20202</x:t>
  </x:si>
  <x:si>
    <x:t>15003</x:t>
  </x:si>
  <x:si>
    <x:t>14005</x:t>
  </x:si>
  <x:si>
    <x:t>14007</x:t>
  </x:si>
  <x:si>
    <x:t>20103</x:t>
  </x:si>
  <x:si>
    <x:t>20105</x:t>
  </x:si>
  <x:si>
    <x:t>20304</x:t>
  </x:si>
  <x:si>
    <x:t>20106</x:t>
  </x:si>
  <x:si>
    <x:t>15001</x:t>
  </x:si>
  <x:si>
    <x:t>20704</x:t>
  </x:si>
  <x:si>
    <x:t>30305</x:t>
  </x:si>
  <x:si>
    <x:t>30306</x:t>
  </x:si>
  <x:si>
    <x:t>20702</x:t>
  </x:si>
  <x:si>
    <x:t>20707</x:t>
  </x:si>
  <x:si>
    <x:t>30309</x:t>
  </x:si>
  <x:si>
    <x:t>20404</x:t>
  </x:si>
  <x:si>
    <x:t>30701</x:t>
  </x:si>
  <x:si>
    <x:t>20503</x:t>
  </x:si>
  <x:si>
    <x:t>30301</x:t>
  </x:si>
  <x:si>
    <x:t>30504</x:t>
  </x:si>
  <x:si>
    <x:t>20505</x:t>
  </x:si>
  <x:si>
    <x:t>10508</x:t>
  </x:si>
  <x:si>
    <x:t>10509</x:t>
  </x:si>
  <x:si>
    <x:t>20604</x:t>
  </x:si>
  <x:si>
    <x:t>20603</x:t>
  </x:si>
  <x:si>
    <x:t>30801</x:t>
  </x:si>
  <x:si>
    <x:t>30302</x:t>
  </x:si>
  <x:si>
    <x:t>20501</x:t>
  </x:si>
  <x:si>
    <x:t>20602</x:t>
  </x:si>
  <x:si>
    <x:t>20706</x:t>
  </x:si>
  <x:si>
    <x:t>20703</x:t>
  </x:si>
  <x:si>
    <x:t>20502</x:t>
  </x:si>
  <x:si>
    <x:t>20504</x:t>
  </x:si>
  <x:si>
    <x:t>20701</x:t>
  </x:si>
  <x:si>
    <x:t>30201</x:t>
  </x:si>
  <x:si>
    <x:t>30202</x:t>
  </x:si>
  <x:si>
    <x:t>20405</x:t>
  </x:si>
  <x:si>
    <x:t>20601</x:t>
  </x:si>
  <x:si>
    <x:t>30303</x:t>
  </x:si>
  <x:si>
    <x:t>30304</x:t>
  </x:si>
  <x:si>
    <x:t>20705</x:t>
  </x:si>
  <x:si>
    <x:t>40102</x:t>
  </x:si>
  <x:si>
    <x:t>40103</x:t>
  </x:si>
  <x:si>
    <x:t>30410</x:t>
  </x:si>
  <x:si>
    <x:t>40105</x:t>
  </x:si>
  <x:si>
    <x:t>30501</x:t>
  </x:si>
  <x:si>
    <x:t>30605</x:t>
  </x:si>
  <x:si>
    <x:t>40106</x:t>
  </x:si>
  <x:si>
    <x:t>30402</x:t>
  </x:si>
  <x:si>
    <x:t>40107</x:t>
  </x:si>
  <x:si>
    <x:t>40108</x:t>
  </x:si>
  <x:si>
    <x:t>40109</x:t>
  </x:si>
  <x:si>
    <x:t>40110</x:t>
  </x:si>
  <x:si>
    <x:t>30603</x:t>
  </x:si>
  <x:si>
    <x:t>40111</x:t>
  </x:si>
  <x:si>
    <x:t>30503</x:t>
  </x:si>
  <x:si>
    <x:t>30406</x:t>
  </x:si>
  <x:si>
    <x:t>30401</x:t>
  </x:si>
  <x:si>
    <x:t>30601</x:t>
  </x:si>
  <x:si>
    <x:t>30404</x:t>
  </x:si>
  <x:si>
    <x:t>30408</x:t>
  </x:si>
  <x:si>
    <x:t>30506</x:t>
  </x:si>
  <x:si>
    <x:t>40104</x:t>
  </x:si>
  <x:si>
    <x:t>30307</x:t>
  </x:si>
  <x:si>
    <x:t>40101</x:t>
  </x:si>
  <x:si>
    <x:t>30407</x:t>
  </x:si>
  <x:si>
    <x:t>30502</x:t>
  </x:si>
  <x:si>
    <x:t>30409</x:t>
  </x:si>
  <x:si>
    <x:t>30604</x:t>
  </x:si>
  <x:si>
    <x:t>30308</x:t>
  </x:si>
  <x:si>
    <x:t>30405</x:t>
  </x:si>
  <x:si>
    <x:t>30403</x:t>
  </x:si>
  <x:si>
    <x:t>30505</x:t>
  </x:si>
  <x:si>
    <x:t>40421</x:t>
  </x:si>
  <x:si>
    <x:t>40422</x:t>
  </x:si>
  <x:si>
    <x:t>40423</x:t>
  </x:si>
  <x:si>
    <x:t>40404</x:t>
  </x:si>
  <x:si>
    <x:t>40415</x:t>
  </x:si>
  <x:si>
    <x:t>40424</x:t>
  </x:si>
  <x:si>
    <x:t>40407</x:t>
  </x:si>
  <x:si>
    <x:t>40410</x:t>
  </x:si>
  <x:si>
    <x:t>40411</x:t>
  </x:si>
  <x:si>
    <x:t>40401</x:t>
  </x:si>
  <x:si>
    <x:t>40403</x:t>
  </x:si>
  <x:si>
    <x:t>40202</x:t>
  </x:si>
  <x:si>
    <x:t>40303</x:t>
  </x:si>
  <x:si>
    <x:t>40205</x:t>
  </x:si>
  <x:si>
    <x:t>40405</x:t>
  </x:si>
  <x:si>
    <x:t>40204</x:t>
  </x:si>
  <x:si>
    <x:t>40302</x:t>
  </x:si>
  <x:si>
    <x:t>40402</x:t>
  </x:si>
  <x:si>
    <x:t>40301</x:t>
  </x:si>
  <x:si>
    <x:t>40406</x:t>
  </x:si>
  <x:si>
    <x:t>40408</x:t>
  </x:si>
  <x:si>
    <x:t>40409</x:t>
  </x:si>
  <x:si>
    <x:t>40201</x:t>
  </x:si>
  <x:si>
    <x:t>40412</x:t>
  </x:si>
  <x:si>
    <x:t>40413</x:t>
  </x:si>
  <x:si>
    <x:t>40416</x:t>
  </x:si>
  <x:si>
    <x:t>40417</x:t>
  </x:si>
  <x:si>
    <x:t>40418</x:t>
  </x:si>
  <x:si>
    <x:t>40203</x:t>
  </x:si>
  <x:si>
    <x:t>40419</x:t>
  </x:si>
  <x:si>
    <x:t>40414</x:t>
  </x:si>
  <x:si>
    <x:t>40420</x:t>
  </x:si>
  <x:si>
    <x:t>40436</x:t>
  </x:si>
  <x:si>
    <x:t>50201</x:t>
  </x:si>
  <x:si>
    <x:t>50203</x:t>
  </x:si>
  <x:si>
    <x:t>50101</x:t>
  </x:si>
  <x:si>
    <x:t>50207</x:t>
  </x:si>
  <x:si>
    <x:t>50210</x:t>
  </x:si>
  <x:si>
    <x:t>50301</x:t>
  </x:si>
  <x:si>
    <x:t>40426</x:t>
  </x:si>
  <x:si>
    <x:t>50206</x:t>
  </x:si>
  <x:si>
    <x:t>50208</x:t>
  </x:si>
  <x:si>
    <x:t>40425</x:t>
  </x:si>
  <x:si>
    <x:t>50204</x:t>
  </x:si>
  <x:si>
    <x:t>50104</x:t>
  </x:si>
  <x:si>
    <x:t>50205</x:t>
  </x:si>
  <x:si>
    <x:t>50209</x:t>
  </x:si>
  <x:si>
    <x:t>40433</x:t>
  </x:si>
  <x:si>
    <x:t>50108</x:t>
  </x:si>
  <x:si>
    <x:t>40427</x:t>
  </x:si>
  <x:si>
    <x:t>50202</x:t>
  </x:si>
  <x:si>
    <x:t>40429</x:t>
  </x:si>
  <x:si>
    <x:t>40434</x:t>
  </x:si>
  <x:si>
    <x:t>40435</x:t>
  </x:si>
  <x:si>
    <x:t>50107</x:t>
  </x:si>
  <x:si>
    <x:t>50105</x:t>
  </x:si>
  <x:si>
    <x:t>40428</x:t>
  </x:si>
  <x:si>
    <x:t>50102</x:t>
  </x:si>
  <x:si>
    <x:t>40430</x:t>
  </x:si>
  <x:si>
    <x:t>50103</x:t>
  </x:si>
  <x:si>
    <x:t>40432</x:t>
  </x:si>
  <x:si>
    <x:t>50109</x:t>
  </x:si>
  <x:si>
    <x:t>40431</x:t>
  </x:si>
  <x:si>
    <x:t>50106</x:t>
  </x:si>
  <x:si>
    <x:t>711-03</x:t>
  </x:si>
  <x:si>
    <x:t>지정재원잉여금</x:t>
  </x:si>
  <x:si>
    <x:t>50401</x:t>
  </x:si>
  <x:si>
    <x:t>50702</x:t>
  </x:si>
  <x:si>
    <x:t>50503</x:t>
  </x:si>
  <x:si>
    <x:t>50703</x:t>
  </x:si>
  <x:si>
    <x:t>50408</x:t>
  </x:si>
  <x:si>
    <x:t>집행잔액</x:t>
  </x:si>
  <x:si>
    <x:t>2028 이후</x:t>
  </x:si>
  <x:si>
    <x:t>711-02</x:t>
  </x:si>
  <x:si>
    <x:t>50602</x:t>
  </x:si>
  <x:si>
    <x:t>50405</x:t>
  </x:si>
  <x:si>
    <x:t>50501</x:t>
  </x:si>
  <x:si>
    <x:t>50701</x:t>
  </x:si>
  <x:si>
    <x:t>50302</x:t>
  </x:si>
  <x:si>
    <x:t>50407</x:t>
  </x:si>
  <x:si>
    <x:t>50704</x:t>
  </x:si>
  <x:si>
    <x:t>50603</x:t>
  </x:si>
  <x:si>
    <x:t>위원회별 실국</x:t>
  </x:si>
  <x:si>
    <x:t>50406</x:t>
  </x:si>
  <x:si>
    <x:t>50403</x:t>
  </x:si>
  <x:si>
    <x:t>50404</x:t>
  </x:si>
  <x:si>
    <x:t>50402</x:t>
  </x:si>
  <x:si>
    <x:t>50502</x:t>
  </x:si>
  <x:si>
    <x:t>50601</x:t>
  </x:si>
  <x:si>
    <x:t>50604</x:t>
  </x:si>
  <x:si>
    <x:t>위원회별 부서</x:t>
  </x:si>
  <x:si>
    <x:t>여성가족기금</x:t>
  </x:si>
  <x:si>
    <x:t>(변경=B)</x:t>
  </x:si>
  <x:si>
    <x:t>(당초=A)</x:t>
  </x:si>
  <x:si>
    <x:t>총사업비</x:t>
  </x:si>
  <x:si>
    <x:t>사  업  명</x:t>
  </x:si>
  <x:si>
    <x:t>기금 발행액</x:t>
  </x:si>
  <x:si>
    <x:t>기금 계</x:t>
  </x:si>
  <x:si>
    <x:t>기타법정잉여금</x:t>
  </x:si>
  <x:si>
    <x:t>일반→기타</x:t>
  </x:si>
  <x:si>
    <x:t>준공기한 연장</x:t>
  </x:si>
  <x:si>
    <x:t>일출(의존)</x:t>
  </x:si>
  <x:si>
    <x:t>50604-1</x:t>
  </x:si>
  <x:si>
    <x:t>30407-9</x:t>
  </x:si>
  <x:si>
    <x:t>국비 변경내시</x:t>
  </x:si>
  <x:si>
    <x:t>기타→기금</x:t>
  </x:si>
  <x:si>
    <x:t>위원회 운영</x:t>
  </x:si>
  <x:si>
    <x:t>일반→기금</x:t>
  </x:si>
  <x:si>
    <x:t>햇살하우징사업</x:t>
  </x:si>
  <x:si>
    <x:t>일출(자체)</x:t>
  </x:si>
  <x:si>
    <x:t>10701-1</x:t>
  </x:si>
  <x:si>
    <x:t>(단위:천원)</x:t>
  </x:si>
  <x:si>
    <x:t>기금→기금</x:t>
  </x:si>
  <x:si>
    <x:t>소각시설 설치</x:t>
  </x:si>
  <x:si>
    <x:t>일반+기타 계</x:t>
  </x:si>
  <x:si>
    <x:t>녹색건축세미나</x:t>
  </x:si>
  <x:si>
    <x:t>세입없음</x:t>
  </x:si>
  <x:si>
    <x:t>수정예산(안)</x:t>
  </x:si>
  <x:si>
    <x:t>편성
구분</x:t>
  </x:si>
  <x:si>
    <x:t>국비 증감액</x:t>
  </x:si>
  <x:si>
    <x:t>세입번호</x:t>
  </x:si>
  <x:si>
    <x:t>합  계</x:t>
  </x:si>
  <x:si>
    <x:t>세출예산(안)</x:t>
  </x:si>
  <x:si>
    <x:t>국비 등</x:t>
  </x:si>
  <x:si>
    <x:t>추가
내시
등</x:t>
  </x:si>
  <x:si>
    <x:t>구  분</x:t>
  </x:si>
  <x:si>
    <x:t>세입예산(안)</x:t>
  </x:si>
  <x:si>
    <x:t>전체 총계</x:t>
  </x:si>
  <x:si>
    <x:t>자체 계</x:t>
  </x:si>
  <x:si>
    <x:t>자체 도비</x:t>
  </x:si>
  <x:si>
    <x:t>금액입력</x:t>
  </x:si>
  <x:si>
    <x:t>직접입력</x:t>
  </x:si>
  <x:si>
    <x:t>의존 계</x:t>
  </x:si>
  <x:si>
    <x:t>상  임  위</x:t>
  </x:si>
  <x:si>
    <x:t>예  결  위</x:t>
  </x:si>
  <x:si>
    <x:t>일반회계</x:t>
  </x:si>
  <x:si>
    <x:t>조정잔액</x:t>
  </x:si>
  <x:si>
    <x:t>지방채/지역개발기금 검증(일반회계)</x:t>
  </x:si>
  <x:si>
    <x:t xml:space="preserve">      수행으로 사업기간 연장</x:t>
  </x:si>
  <x:si>
    <x:t xml:space="preserve"> - 도시계획시설 결정 용역기간</x:t>
  </x:si>
  <x:si>
    <x:t xml:space="preserve">   전전년도(2024) 이전</x:t>
  </x:si>
  <x:si>
    <x:t>○ 고양 관산119안전센터 신축</x:t>
  </x:si>
  <x:si>
    <x:t>경기도주한미군반환공여구역개발기금</x:t>
  </x:si>
  <x:si>
    <x:t>★지역개발기금 검증(내부거래)★</x:t>
  </x:si>
  <x:si>
    <x:t xml:space="preserve">    으로 공정상 당해년도 필요</x:t>
  </x:si>
  <x:si>
    <x:t xml:space="preserve"> - 국가 철도부지 매입계획 변경에</x:t>
  </x:si>
  <x:si>
    <x:t xml:space="preserve"> (당초) 2025~2028 →</x:t>
  </x:si>
  <x:si>
    <x:t>일반회계 
지역개발기금 편성액</x:t>
  </x:si>
  <x:si>
    <x:t xml:space="preserve">      예산(인증비 등)만 요구</x:t>
  </x:si>
  <x:si>
    <x:t xml:space="preserve"> · 사업량 : 부지 2,000㎡</x:t>
  </x:si>
  <x:si>
    <x:t xml:space="preserve"> · 사업량 : 부지 3,261㎡</x:t>
  </x:si>
  <x:si>
    <x:t>최종 이월조서 : 25년 2추</x:t>
  </x:si>
  <x:si>
    <x:t>○  안성 양성119안전센터 신축</x:t>
  </x:si>
  <x:si>
    <x:t xml:space="preserve"> (당초) 2026~2028 →</x:t>
  </x:si>
  <x:si>
    <x:t>○ 동두천 소요119안전센터 이전</x:t>
  </x:si>
  <x:si>
    <x:t>상임위
조정 예산안
(마=다+라)</x:t>
  </x:si>
  <x:si>
    <x:t>○ 시흥 장곡119안전센터 신축</x:t>
  </x:si>
  <x:si>
    <x:t>예결특위
조정 예산안
(사=다+바)</x:t>
  </x:si>
  <x:si>
    <x:t>최종 이월조서 : 26년 본예산</x:t>
  </x:si>
  <x:si>
    <x:t>최종 이월조서 : 25년 본예산</x:t>
  </x:si>
  <x:si>
    <x:t>(소방재난본부-회계장비담당관)</x:t>
  </x:si>
  <x:si>
    <x:t xml:space="preserve"> · 사업량 : 경부선 철도지하화 </x:t>
  </x:si>
  <x:si>
    <x:t xml:space="preserve">  정거장8개소, 차량기지1개소</x:t>
  </x:si>
  <x:si>
    <x:t xml:space="preserve"> · 사업량 : L=15.1km</x:t>
  </x:si>
  <x:si>
    <x:t>○ 경의중앙선 철도지하화 통합</x:t>
  </x:si>
  <x:si>
    <x:t>○ 갈현-축현 도로확포장(파주)</x:t>
  </x:si>
  <x:si>
    <x:t xml:space="preserve"> · 사업량 : L=11.7km </x:t>
  </x:si>
  <x:si>
    <x:t>최종 이월조서 : 25년 2회추경</x:t>
  </x:si>
  <x:si>
    <x:t>○ 경부선 철도지하화 통합개발</x:t>
  </x:si>
  <x:si>
    <x:t>○ 용인서부소방서 신청사 건립</x:t>
  </x:si>
  <x:si>
    <x:t>최종 이월조서 : 23년 본예산</x:t>
  </x:si>
  <x:si>
    <x:t xml:space="preserve"> - (당초) 2017~2027</x:t>
  </x:si>
  <x:si>
    <x:t>최종 이월조서 : 2026년 본예산</x:t>
  </x:si>
  <x:si>
    <x:t>○도봉산-옥정 광역철도(국비/직접)</x:t>
  </x:si>
  <x:si>
    <x:t>○ 유운-매산 도로확포장(용인)</x:t>
  </x:si>
  <x:si>
    <x:t>○ 양기-양지 도로확포장(안성)</x:t>
  </x:si>
  <x:si>
    <x:t xml:space="preserve"> · 사업량 : 부지 7,310㎡</x:t>
  </x:si>
  <x:si>
    <x:t xml:space="preserve">   → (변경) 2017~2028</x:t>
  </x:si>
  <x:si>
    <x:t>○ 총사업비 및 사업기간 변경</x:t>
  </x:si>
  <x:si>
    <x:t xml:space="preserve">   (2026.7.20.)호) </x:t>
  </x:si>
  <x:si>
    <x:t xml:space="preserve"> - 대도시권광역교통위원회 고시 </x:t>
  </x:si>
  <x:si>
    <x:t>최종 이월조서 : '25년 2추</x:t>
  </x:si>
  <x:si>
    <x:t xml:space="preserve">     통합개발사업 기본계획 수립</x:t>
  </x:si>
  <x:si>
    <x:t xml:space="preserve"> · 사업량 : 경인선 철도지하화 </x:t>
  </x:si>
  <x:si>
    <x:t>최종 이월조서 : 25년 3회추경</x:t>
  </x:si>
  <x:si>
    <x:t xml:space="preserve">○ 안산선 철도지하화 통합개발 </x:t>
  </x:si>
  <x:si>
    <x:t xml:space="preserve"> · 사업량 : 안산선 철도지하화 </x:t>
  </x:si>
  <x:si>
    <x:t>공기관등에대한
경상적위탁사업비</x:t>
  </x:si>
  <x:si>
    <x:t>최종 이월조서 : 2025년 본예산</x:t>
  </x:si>
  <x:si>
    <x:t xml:space="preserve"> · 위 치 : 파주시 야동동~</x:t>
  </x:si>
  <x:si>
    <x:t>○ 야동-금승 도로확포장(파주)</x:t>
  </x:si>
  <x:si>
    <x:t>○ 덕평-매곡 도로확포장(이천)</x:t>
  </x:si>
  <x:si>
    <x:t>○ 경인선 철도지하화 통합개발</x:t>
  </x:si>
  <x:si>
    <x:t>○ 신평-심곡 도로확포장(포천)</x:t>
  </x:si>
  <x:si>
    <x:t>○ 하송우-마산 도로확포장(포천)</x:t>
  </x:si>
  <x:si>
    <x:t>○ 처리-우만 도로확포장(여주)</x:t>
  </x:si>
  <x:si>
    <x:t xml:space="preserve">            신북면 신평리</x:t>
  </x:si>
  <x:si>
    <x:t>○ 총사업비, 연도별 예산액 변경</x:t>
  </x:si>
  <x:si>
    <x:t>화성시 송배수관로 설치공사 공사비</x:t>
  </x:si>
  <x:si>
    <x:t>○ 무갑-광동 도로확포장(광주)</x:t>
  </x:si>
  <x:si>
    <x:t>○ 실촌-만선 국지도건설(광주)</x:t>
  </x:si>
  <x:si>
    <x:t xml:space="preserve">           오산시 벌음동</x:t>
  </x:si>
  <x:si>
    <x:t xml:space="preserve">최종 이월조서: '26년 본예산 </x:t>
  </x:si>
  <x:si>
    <x:t>○ 옥계-상리 국지도건설(연천)</x:t>
  </x:si>
  <x:si>
    <x:t>○ 축현-내포 도로확포장(파주)</x:t>
  </x:si>
  <x:si>
    <x:t xml:space="preserve">            서종면 도장리</x:t>
  </x:si>
  <x:si>
    <x:t>○ 발산-수면 도로확포장(화성)</x:t>
  </x:si>
  <x:si>
    <x:t>○ 문호-도장 도로확포장(양평)</x:t>
  </x:si>
  <x:si>
    <x:t>○ 금릉-조리 국지도건설(파주)</x:t>
  </x:si>
  <x:si>
    <x:t xml:space="preserve">  - (1구역) 제3별관 일부</x:t>
  </x:si>
  <x:si>
    <x:t>기정액
(본예산+1추)
(가)</x:t>
  </x:si>
  <x:si>
    <x:t>○ 부곡-부곡 국지도건설(양주)</x:t>
  </x:si>
  <x:si>
    <x:t>○ 운양-하성 국지도건설(김포)</x:t>
  </x:si>
  <x:si>
    <x:t>○ 우정-향남 국지도건설(화성)</x:t>
  </x:si>
  <x:si>
    <x:t xml:space="preserve">            연천읍 상리</x:t>
  </x:si>
  <x:si>
    <x:t>○ 군내-내촌 국지도건설(포천)</x:t>
  </x:si>
  <x:si>
    <x:t xml:space="preserve">            충북 도계</x:t>
  </x:si>
  <x:si>
    <x:t>○ 성환-입장 국지도건설(안성)</x:t>
  </x:si>
  <x:si>
    <x:t>○ 장흥-광적 국지도건설(양주)</x:t>
  </x:si>
  <x:si>
    <x:t>○ 오남-수동 국지도건설(냠양주)</x:t>
  </x:si>
  <x:si>
    <x:t>○ 완장-서리 도로확포장(용인)</x:t>
  </x:si>
  <x:si>
    <x:t xml:space="preserve">            내촌면 신팔리</x:t>
  </x:si>
  <x:si>
    <x:t>○ 와부-화도 국지도건설(남양주)</x:t>
  </x:si>
  <x:si>
    <x:t xml:space="preserve">            장흥면 부곡리</x:t>
  </x:si>
  <x:si>
    <x:t>○ 화도-운수 도로확포장(남양주)</x:t>
  </x:si>
  <x:si>
    <x:t>스마트 수돗물 수질관리 시스템 구축</x:t>
  </x:si>
  <x:si>
    <x:t>어르신 안전 하우징(자체/직접)</x:t>
  </x:si>
  <x:si>
    <x:t>순환경제특별회계 일반회계 전입금</x:t>
  </x:si>
  <x:si>
    <x:t>도시계획위원회 운영(자체/직접)</x:t>
  </x:si>
  <x:si>
    <x:t>공중화장실 안전관리시설 설치 지원</x:t>
  </x:si>
  <x:si>
    <x:t>순환경제특별회계 전출금(지방채)</x:t>
  </x:si>
  <x:si>
    <x:t>동두천시 생활자원회수센터 현대화</x:t>
  </x:si>
  <x:si>
    <x:t>수원시 자원회수시설 대보수사업</x:t>
  </x:si>
  <x:si>
    <x:t>공공건축물 그린리모델링사업 2.0</x:t>
  </x:si>
  <x:si>
    <x:r>
      <x:t xml:space="preserve">기타특별회계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ff0000"/>
            <x:b val="1"/>
          </x:rPr>
        </mc:Fallback>
      </mc:AlternateContent>
      <x:t>세출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000000"/>
            <x:b val="1"/>
          </x:rPr>
        </mc:Fallback>
      </mc:AlternateContent>
      <x:t xml:space="preserve"> 예산 조정(안)</x:t>
    </x:r>
  </x:si>
  <x:si>
    <x:r>
      <x:t xml:space="preserve">금액 검증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8"/>
            <x:color rgb="ff000000"/>
          </x:rPr>
        </mc:Fallback>
      </mc:AlternateContent>
      <x:t>(예결위조정액
=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8"/>
            <x:color rgb="ff000000"/>
          </x:rPr>
        </mc:Fallback>
      </mc:AlternateContent>
      <x:t>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8"/>
            <x:color rgb="ff000000"/>
          </x:rPr>
        </mc:Fallback>
      </mc:AlternateContent>
      <x:t>도비)</x:t>
    </x:r>
  </x:si>
  <x:si>
    <x:r>
      <x:t xml:space="preserve">공기업특별회계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ff0000"/>
            <x:b val="1"/>
          </x:rPr>
        </mc:Fallback>
      </mc:AlternateContent>
      <x:t>세입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000000"/>
            <x:b val="1"/>
          </x:rPr>
        </mc:Fallback>
      </mc:AlternateContent>
      <x:t xml:space="preserve"> 예산 조정(안)</x:t>
    </x:r>
  </x:si>
  <x:si>
    <x:r>
      <x:t xml:space="preserve">기금운용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ff0000"/>
            <x:b val="1"/>
          </x:rPr>
        </mc:Fallback>
      </mc:AlternateContent>
      <x:t>수입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000000"/>
            <x:b val="1"/>
          </x:rPr>
        </mc:Fallback>
      </mc:AlternateContent>
      <x:t xml:space="preserve"> 계획 조정(안)</x:t>
    </x:r>
  </x:si>
  <x:si>
    <x:r>
      <x:t xml:space="preserve">일반회계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ff0000"/>
            <x:b val="1"/>
          </x:rPr>
        </mc:Fallback>
      </mc:AlternateContent>
      <x:t>세입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000000"/>
            <x:b val="1"/>
          </x:rPr>
        </mc:Fallback>
      </mc:AlternateContent>
      <x:t xml:space="preserve"> 예산 조정(안)</x:t>
    </x:r>
  </x:si>
  <x:si>
    <x:r>
      <x:t xml:space="preserve">기금운용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ff0000"/>
            <x:b val="1"/>
          </x:rPr>
        </mc:Fallback>
      </mc:AlternateContent>
      <x:t>지출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000000"/>
            <x:b val="1"/>
          </x:rPr>
        </mc:Fallback>
      </mc:AlternateContent>
      <x:t xml:space="preserve"> 계획 조정(안)</x:t>
    </x:r>
  </x:si>
  <x:si>
    <x:r>
      <x:t xml:space="preserve">금액 검증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8"/>
            <x:color rgb="ff000000"/>
          </x:rPr>
        </mc:Fallback>
      </mc:AlternateContent>
      <x:t>(예결위조정액
=∑도비)</x:t>
    </x:r>
  </x:si>
  <x:si>
    <x:r>
      <x:t xml:space="preserve">금액 검증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8"/>
            <x:color rgb="ff000000"/>
          </x:rPr>
        </mc:Fallback>
      </mc:AlternateContent>
      <x:t>(상임위조정액
=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8"/>
            <x:color rgb="ff000000"/>
          </x:rPr>
        </mc:Fallback>
      </mc:AlternateContent>
      <x:t>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8"/>
            <x:color rgb="ff000000"/>
          </x:rPr>
        </mc:Fallback>
      </mc:AlternateContent>
      <x:t>도비)</x:t>
    </x:r>
  </x:si>
  <x:si>
    <x:r>
      <x:t xml:space="preserve">기타특별회계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ff0000"/>
            <x:b val="1"/>
          </x:rPr>
        </mc:Fallback>
      </mc:AlternateContent>
      <x:t>세입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000000"/>
            <x:b val="1"/>
          </x:rPr>
        </mc:Fallback>
      </mc:AlternateContent>
      <x:t xml:space="preserve"> 예산 조정(안)</x:t>
    </x:r>
  </x:si>
  <x:si>
    <x:r>
      <x:t xml:space="preserve">공기업특별회계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ff0000"/>
            <x:b val="1"/>
          </x:rPr>
        </mc:Fallback>
      </mc:AlternateContent>
      <x:t>세출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000000"/>
            <x:b val="1"/>
          </x:rPr>
        </mc:Fallback>
      </mc:AlternateContent>
      <x:t xml:space="preserve"> 예산 조정(안)</x:t>
    </x:r>
  </x:si>
  <x:si>
    <x:t>시·군·구지역개발기금차입금원금상환</x:t>
  </x:si>
  <x:si>
    <x:t>사회복지기금(장애인복지지원사업)</x:t>
  </x:si>
  <x:si>
    <x:t>시·도지역개발기금예수금원금상환</x:t>
  </x:si>
  <x:si>
    <x:t>"3. 일출(의존)"
에 입력</x:t>
  </x:si>
  <x:si>
    <x:t>700 보전수입 등 및 내부거래</x:t>
  </x:si>
  <x:si>
    <x:t>지역개발기금시·군·구융자금수입</x:t>
  </x:si>
  <x:si>
    <x:t>의원역량개발비(공공위탁,자체교육)</x:t>
  </x:si>
  <x:si>
    <x:t>농업농촌진흥기금(농업발전계정)</x:t>
  </x:si>
  <x:si>
    <x:t>사회보장적수혜금(취약계층,지방재원)</x:t>
  </x:si>
  <x:si>
    <x:t>통합재정안정화기금(재정안정화계정)</x:t>
  </x:si>
  <x:si>
    <x:t>시·군·구교육비특별회계법정전출금</x:t>
  </x:si>
  <x:si>
    <x:t>사회보장적수혜금(국고보조재원)</x:t>
  </x:si>
  <x:si>
    <x:t>시·군·구지역개발기금차입금이자상환</x:t>
  </x:si>
  <x:si>
    <x:t>공무직(무기계약)근로자보험료부담금등</x:t>
  </x:si>
  <x:si>
    <x:t>농업농촌진흥기금(농촌지도자육성계정)</x:t>
  </x:si>
  <x:si>
    <x:t xml:space="preserve">경기도의회 예산결산특별위원회 </x:t>
  </x:si>
  <x:si>
    <x:t>시·도지역개발기금예수금이자상환</x:t>
  </x:si>
  <x:si>
    <x:t>사회복지기금(노인복지지원사업)</x:t>
  </x:si>
  <x:si>
    <x:t>시·군·구교육비특별회계비법정전출금</x:t>
  </x:si>
  <x:si>
    <x:t>지방채/지역개발기금 매칭 세입 검증</x:t>
  </x:si>
  <x:si>
    <x:t>스마트 수돗물 수질관리 시스템 구축(자체/지원)</x:t>
  </x:si>
  <x:si>
    <x:t>공공건축물 그린리모델링사업 2.0(기금/지원)</x:t>
  </x:si>
  <x:si>
    <x:t>공중화장실 안전관리시설 설치지원(균특/지원)</x:t>
  </x:si>
  <x:si>
    <x:r>
      <x:t xml:space="preserve">직접입력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제목 Medium"/>
            <x:sz val="18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경기천년제목 Medium"/>
            <x:sz val="18"/>
            <x:color rgb="ffff0000"/>
          </x:rPr>
        </mc:Fallback>
      </mc:AlternateContent>
      <x:t>(국비 세입이 있는 경우만 금액 입력)</x:t>
    </x:r>
  </x:si>
  <x:si>
    <x:t>재활용품수거판매수입</x:t>
  </x:si>
  <x:si>
    <x:t>민간융자금회수수입</x:t>
  </x:si>
  <x:si>
    <x:t>기타회계 전입금</x:t>
  </x:si>
  <x:si>
    <x:t>공사·공단 전입금</x:t>
  </x:si>
  <x:si>
    <x:t>전년도이월사업비</x:t>
  </x:si>
  <x:si>
    <x:t>시·도비보조금사용잔액</x:t>
  </x:si>
  <x:si>
    <x:t>국고보조금사용잔액</x:t>
  </x:si>
  <x:si>
    <x:t>지방공공 자금채</x:t>
  </x:si>
  <x:si>
    <x:t>예탁금 원금 회수수입</x:t>
  </x:si>
  <x:si>
    <x:t>예탁금 이자수입</x:t>
  </x:si>
  <x:si>
    <x:t>공기업특별회계전입금</x:t>
  </x:si>
  <x:si>
    <x:t>자치구특별조정교부금</x:t>
  </x:si>
  <x:si>
    <x:t>자치구기타재원조정수입</x:t>
  </x:si>
  <x:si>
    <x:t>시군특별조정교부금</x:t>
  </x:si>
  <x:si>
    <x:t>자치구일반조정교부금</x:t>
  </x:si>
  <x:si>
    <x:t>시군기타재원조정수입</x:t>
  </x:si>
  <x:si>
    <x:t>시군일반조정교부금</x:t>
  </x:si>
  <x:si>
    <x:t>지적재조사조정금</x:t>
  </x:si>
  <x:si>
    <x:t>불용품 매각대금</x:t>
  </x:si>
  <x:si>
    <x:t>(의료급여기금)</x:t>
  </x:si>
  <x:si>
    <x:t>공유재산매각수입금</x:t>
  </x:si>
  <x:si>
    <x:t>융자금회수이자수입</x:t>
  </x:si>
  <x:si>
    <x:t>예결위 부대의견</x:t>
  </x:si>
  <x:si>
    <x:t>(광역교통시설)</x:t>
  </x:si>
  <x:si>
    <x:t>공공예금이자수입</x:t>
  </x:si>
  <x:si>
    <x:t>(지역균형발전)</x:t>
  </x:si>
  <x:si>
    <x:t>(지역자원시설세)</x:t>
  </x:si>
  <x:si>
    <x:t>남북교류협력기금</x:t>
  </x:si>
  <x:si>
    <x:t>개발이익도민환원기금</x:t>
  </x:si>
  <x:si>
    <x:t>(학교용지부담금)</x:t>
  </x:si>
  <x:si>
    <x:t>과학기술진흥기금</x:t>
  </x:si>
  <x:si>
    <x:t>폐기물처리수수료</x:t>
  </x:si>
  <x:si>
    <x:t>국유재산매각귀속수입금</x:t>
  </x:si>
  <x:si>
    <x:t>자체보조금등반환수입</x:t>
  </x:si>
  <x:si>
    <x:t>자치단체간부담금</x:t>
  </x:si>
  <x:si>
    <x:t>국고보조금등반환금</x:t>
  </x:si>
  <x:si>
    <x:t>715 보조금등반환금</x:t>
  </x:si>
  <x:si>
    <x:t>시·도비보조금등반환금</x:t>
  </x:si>
  <x:si>
    <x:t>실국명(집계표)</x:t>
  </x:si>
  <x:si>
    <x:t>부서명(집계표)</x:t>
  </x:si>
  <x:si>
    <x:t>교육비특별회계전입금</x:t>
  </x:si>
  <x:si>
    <x:t>해양수산자원연구소</x:t>
  </x:si>
  <x:si>
    <x:t>문화체육관광위원회</x:t>
  </x:si>
  <x:si>
    <x:t>(단위 : 천원)</x:t>
  </x:si>
  <x:si>
    <x:t>국도비
등
여부</x:t>
  </x:si>
  <x:si>
    <x:t>선인장다육식물연구소</x:t>
  </x:si>
  <x:si>
    <x:t>(농정해양위원회)</x:t>
  </x:si>
  <x:si>
    <x:t>예결위 재원별 증감액</x:t>
  </x:si>
  <x:si>
    <x:t>예결위 세입 검증</x:t>
  </x:si>
  <x:si>
    <x:t>(문화체육관광위원회)</x:t>
  </x:si>
  <x:si>
    <x:t>(보건복지위원회)</x:t>
  </x:si>
  <x:si>
    <x:t>(건설교통위원회)</x:t>
  </x:si>
  <x:si>
    <x:t>상임위 재원별 증감액</x:t>
  </x:si>
  <x:si>
    <x:t>상임위 세입 검증</x:t>
  </x:si>
  <x:si>
    <x:t>(기획재정위원회)</x:t>
  </x:si>
  <x:si>
    <x:t>(의회운영위원회)</x:t>
  </x:si>
  <x:si>
    <x:t>(안전행정위원회)</x:t>
  </x:si>
  <x:si>
    <x:t>동일
세입
건수</x:t>
  </x:si>
  <x:si>
    <x:t>집행부제출(안)</x:t>
  </x:si>
  <x:si>
    <x:t>의존 매칭 도비</x:t>
  </x:si>
  <x:si>
    <x:t>※ 예산안 증감현황</x:t>
  </x:si>
  <x:si>
    <x:t>(도시환경위원회)</x:t>
  </x:si>
  <x:si>
    <x:t>북부동물위생시험소</x:t>
  </x:si>
  <x:si>
    <x:t>식품의약품연구부</x:t>
  </x:si>
  <x:si>
    <x:t>남한산성세계유산센터</x:t>
  </x:si>
  <x:si>
    <x:t>여성가족평생교육위원회</x:t>
  </x:si>
  <x:si>
    <x:t>친환경급식지원센터</x:t>
  </x:si>
  <x:si>
    <x:t>일자리경제정책과</x:t>
  </x:si>
  <x:si>
    <x:t>(경제노동위원회)</x:t>
  </x:si>
  <x:si>
    <x:t>□ 회계별 조정현황</x:t>
  </x:si>
  <x:si>
    <x:t>□ 위원회별 조정현황</x:t>
  </x:si>
  <x:si>
    <x:t>민간경상사업보조</x:t>
  </x:si>
  <x:si>
    <x:t>자치단체자본보조</x:t>
  </x:si>
  <x:si>
    <x:t>상임위동의
대상</x:t>
  </x:si>
  <x:si>
    <x:t>경기경제자유구역청</x:t>
  </x:si>
  <x:si>
    <x:t>장애인자립지원과</x:t>
  </x:si>
  <x:si>
    <x:t>상임위
동의
대상</x:t>
  </x:si>
  <x:si>
    <x:t>실국의견
청취대상</x:t>
  </x:si>
  <x:si>
    <x:t>예결특위 부대의견</x:t>
  </x:si>
  <x:si>
    <x:t>상임위 부대의견</x:t>
  </x:si>
  <x:si>
    <x:t>참고자료
(관련공문)</x:t>
  </x:si>
  <x:si>
    <x:t>공무원 교육여비</x:t>
  </x:si>
  <x:si>
    <x:t>기관운영업무추진비</x:t>
  </x:si>
  <x:si>
    <x:t xml:space="preserve">(단위 : 천원) </x:t>
  </x:si>
  <x:si>
    <x:t>상임위 계수조정 결과</x:t>
  </x:si>
  <x:si>
    <x:t>의회운영업무추진비</x:t>
  </x:si>
  <x:si>
    <x:t>의정운영공통경비</x:t>
  </x:si>
  <x:si>
    <x:t>부서운영업무추진비</x:t>
  </x:si>
  <x:si>
    <x:t>정원가산업무추진비</x:t>
  </x:si>
  <x:si>
    <x:t>직책급업무수행경비</x:t>
  </x:si>
  <x:si>
    <x:t>시책추진업무추진비</x:t>
  </x:si>
  <x:si>
    <x:t>민간인이주보상금</x:t>
  </x:si>
  <x:si>
    <x:t>사회복지사업보조</x:t>
  </x:si>
  <x:si>
    <x:t>민간인위탁교육비</x:t>
  </x:si>
  <x:si>
    <x:t>민간행사사업보조</x:t>
  </x:si>
  <x:si>
    <x:t>공사·공단자본전출금</x:t>
  </x:si>
  <x:si>
    <x:t>예비군육성지원자본보조</x:t>
  </x:si>
  <x:si>
    <x:t>재해·재난목적예비비</x:t>
  </x:si>
  <x:si>
    <x:t>시설비 및 부대비</x:t>
  </x:si>
  <x:si>
    <x:t>연금 부담금 등</x:t>
  </x:si>
  <x:si>
    <x:t>이주 및 재해 보상금</x:t>
  </x:si>
  <x:si>
    <x:t>자치단체등 이전</x:t>
  </x:si>
  <x:si>
    <x:t>차입금 이자상환</x:t>
  </x:si>
  <x:si>
    <x:t>공사공단 자본전출금</x:t>
  </x:si>
  <x:si>
    <x:t>자치단체등 자본이전</x:t>
  </x:si>
  <x:si>
    <x:t>216 이자수입</x:t>
  </x:si>
  <x:si>
    <x:t>예수금 원리금상환</x:t>
  </x:si>
  <x:si>
    <x:t>기타회계 등 전출금</x:t>
  </x:si>
  <x:si>
    <x:t>213 수수료수입</x:t>
  </x:si>
  <x:si>
    <x:t>100 지방세수입</x:t>
  </x:si>
  <x:si>
    <x:t>200 세외수입</x:t>
  </x:si>
  <x:si>
    <x:t>214 사업수입</x:t>
  </x:si>
  <x:si>
    <x:t>211 재산임대수입</x:t>
  </x:si>
  <x:si>
    <x:t>교육비특별회계전출금</x:t>
  </x:si>
  <x:si>
    <x:t>215 징수교부금수입</x:t>
  </x:si>
  <x:si>
    <x:t>212 사용료수입</x:t>
  </x:si>
  <x:si>
    <x:t>210 경상적세외수입</x:t>
  </x:si>
  <x:si>
    <x:t>310 지방교부세</x:t>
  </x:si>
  <x:si>
    <x:t>510 국고보조금등</x:t>
  </x:si>
  <x:si>
    <x:t>300 지방교부세</x:t>
  </x:si>
  <x:si>
    <x:t>221 재산매각수입</x:t>
  </x:si>
  <x:si>
    <x:t>223 보조금반환수입</x:t>
  </x:si>
  <x:si>
    <x:t>232 이행강제금</x:t>
  </x:si>
  <x:si>
    <x:t>220 임시적세외수입</x:t>
  </x:si>
  <x:si>
    <x:t>224 기타수입</x:t>
  </x:si>
  <x:si>
    <x:t>311 지방교부세</x:t>
  </x:si>
  <x:si>
    <x:t>400 조정교부금등</x:t>
  </x:si>
  <x:si>
    <x:t>620 국외차입금</x:t>
  </x:si>
  <x:si>
    <x:t>710 보전수입 등</x:t>
  </x:si>
  <x:si>
    <x:t>511 국고보조금등</x:t>
  </x:si>
  <x:si>
    <x:t>713 융자금원금수입</x:t>
  </x:si>
  <x:si>
    <x:t>612 지방채증권</x:t>
  </x:si>
  <x:si>
    <x:t>621 국외차입금</x:t>
  </x:si>
  <x:si>
    <x:t>720 내부거래</x:t>
  </x:si>
  <x:si>
    <x:t>520 시도비보조금등</x:t>
  </x:si>
  <x:si>
    <x:t>521 시도비보조금등</x:t>
  </x:si>
  <x:si>
    <x:t>613 지역개발기금</x:t>
  </x:si>
  <x:si>
    <x:t>610 국내차입금</x:t>
  </x:si>
  <x:si>
    <x:t>714 예치금회수</x:t>
  </x:si>
  <x:si>
    <x:t>712 전년도 이월금</x:t>
  </x:si>
  <x:si>
    <x:t>어르신 안전 하우징</x:t>
  </x:si>
  <x:si>
    <x:t>청사시설 등 유지관리</x:t>
  </x:si>
  <x:si>
    <x:t>물관리정책워크숍</x:t>
  </x:si>
  <x:si>
    <x:t>국고보조금 변경 내시</x:t>
  </x:si>
  <x:si>
    <x:t>30407-지방채-1</x:t>
  </x:si>
  <x:si>
    <x:t>30407-10</x:t>
  </x:si>
  <x:si>
    <x:t>411 자치구조정교부금등</x:t>
  </x:si>
  <x:si>
    <x:t>722 예탁금 및 예수금</x:t>
  </x:si>
  <x:si>
    <x:t>(여성가족평생교육위원회)</x:t>
  </x:si>
  <x:si>
    <x:t>예비
심사시
집행부
동의여부</x:t>
  </x:si>
  <x:si>
    <x:t>실국별
사업
설명서
페이지</x:t>
  </x:si>
  <x:si>
    <x:t>420 시군조정교부금등</x:t>
  </x:si>
  <x:si>
    <x:t>시군구 융자금 회수수입</x:t>
  </x:si>
  <x:si>
    <x:t>공사공단 등 융자금 회수수입</x:t>
  </x:si>
  <x:si>
    <x:t>230 지방행정제재·부과금</x:t>
  </x:si>
  <x:si>
    <x:t>통화금융기관융자금회수수입</x:t>
  </x:si>
  <x:si>
    <x:t>410 자치구조정교부금등</x:t>
  </x:si>
  <x:si>
    <x:t>예결특위 계수조정 결과</x:t>
  </x:si>
  <x:si>
    <x:t>민간자본사업보조(이전재원)</x:t>
  </x:si>
  <x:si>
    <x:t>민간자본사업보조(자체재원)</x:t>
  </x:si>
  <x:si>
    <x:t>예결특위 부대의견
(비공개)</x:t>
  </x:si>
  <x:si>
    <x:t>의원역량개발비(민간위탁)</x:t>
  </x:si>
  <x:si>
    <x:t>222 자치단체간부담금</x:t>
  </x:si>
  <x:si>
    <x:t>421 시군조정교부금등</x:t>
  </x:si>
  <x:si>
    <x:t>지방교부세감소분보전수입</x:t>
  </x:si>
  <x:si>
    <x:t>예술단원·운동부등보상금</x:t>
  </x:si>
  <x:si>
    <x:t>예결특위
조정액
(바)</x:t>
  </x:si>
  <x:si>
    <x:t>공기업특별회계경상전출금</x:t>
  </x:si>
  <x:si>
    <x:t>시·도지역개발기금예수금수입</x:t>
  </x:si>
  <x:si>
    <x:t>경기도남부자치경찰위원회</x:t>
  </x:si>
  <x:si>
    <x:t>공기관등에대한자본적위탁사업비</x:t>
  </x:si>
  <x:si>
    <x:t>사회보장적수혜금(지방재원)</x:t>
  </x:si>
  <x:si>
    <x:t>공기관등에대한경상적위탁사업비</x:t>
  </x:si>
  <x:si>
    <x:t>사회복지기금(자활지원사업)</x:t>
  </x:si>
  <x:si>
    <x:t>지역균형발전특별회계보조금</x:t>
  </x:si>
  <x:si>
    <x:t>통화금융기관차입금원금상환</x:t>
  </x:si>
  <x:si>
    <x:t>예산안
/예산서
페이지</x:t>
  </x:si>
  <x:si>
    <x:t>공무직(무기계약)근로자보수</x:t>
  </x:si>
  <x:si>
    <x:t>중소기업육성기금(운전자금)</x:t>
  </x:si>
  <x:si>
    <x:t>민간인재해및복구활동보상금</x:t>
  </x:si>
  <x:si>
    <x:t>공무원연금관리공단경상전출금</x:t>
  </x:si>
  <x:si>
    <x:t>시·도비보조금등반환수입</x:t>
  </x:si>
  <x:si>
    <x:t>시·도유재산매각귀속수입금</x:t>
  </x:si>
  <x:si>
    <x:t>경기북부특별자치도추진단</x:t>
  </x:si>
  <x:si>
    <x:t>경기도북부자치경찰위원회</x:t>
  </x:si>
  <x:si>
    <x:t>사회복지시설법정운영비보조</x:t>
  </x:si>
  <x:si>
    <x:t>(예비비 계수 조정용)</x:t>
  </x:si>
  <x:si>
    <x:t>통합재정안정화기금(통합계정)</x:t>
  </x:si>
  <x:si>
    <x:t>321 지방소명대응기금</x:t>
  </x:si>
  <x:si>
    <x:t>공기업특별회계자본전출금</x:t>
  </x:si>
  <x:si>
    <x:t>통장·이장·반장활동보상금</x:t>
  </x:si>
  <x:si>
    <x:t>상임위 
조정액
(라)</x:t>
  </x:si>
  <x:si>
    <x:t>통화금융기관차입금이자상환</x:t>
  </x:si>
  <x:si>
    <x:t>320 지방소멸대응기금</x:t>
  </x:si>
  <x:si>
    <x:t>예결위 세입/세출 검증</x:t>
  </x:si>
  <x:si>
    <x:t>경기도북부119특수대응단</x:t>
  </x:si>
  <x:si>
    <x:t>변경사유
(비    고)</x:t>
  </x:si>
  <x:si>
    <x:t xml:space="preserve"> · 사업량 : 지상 2층</x:t>
  </x:si>
  <x:si>
    <x:t>○ 연도별 예산액 변경</x:t>
  </x:si>
  <x:si>
    <x:t xml:space="preserve"> (변경) 2026~2029</x:t>
  </x:si>
  <x:si>
    <x:t xml:space="preserve">  - 현재 설계공모 중으로</x:t>
  </x:si>
  <x:si>
    <x:t xml:space="preserve">    따른 토지매입 지연</x:t>
  </x:si>
  <x:si>
    <x:t>기본계획 승인내역 반영</x:t>
  </x:si>
  <x:si>
    <x:t>○ 송파하남선 광역철도</x:t>
  </x:si>
  <x:si>
    <x:t>(철도항만물류국-철도건설과)</x:t>
  </x:si>
  <x:si>
    <x:t>상임위 세입/세출 검증</x:t>
  </x:si>
  <x:si>
    <x:t>단선전철, 정거장 3개소</x:t>
  </x:si>
  <x:si>
    <x:t xml:space="preserve"> · 사업량 : 지상 3층</x:t>
  </x:si>
  <x:si>
    <x:t>증감액
(2회추경안)
(나)</x:t>
  </x:si>
  <x:si>
    <x:t>○강동하남남양주선 광역철도</x:t>
  </x:si>
  <x:si>
    <x:t>★회계간 내부거래 검증★</x:t>
  </x:si>
  <x:si>
    <x:t xml:space="preserve"> (변경) 2025~2029</x:t>
  </x:si>
  <x:si>
    <x:t xml:space="preserve"> 의정부시 ~ 양주시 고읍동</x:t>
  </x:si>
  <x:si>
    <x:t>(철도항만물류국-철도정책과)</x:t>
  </x:si>
  <x:si>
    <x:t xml:space="preserve">    개발사업(자체/직접)</x:t>
  </x:si>
  <x:si>
    <x:t xml:space="preserve">    사업(자체/직접)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</x:si>
  <x:si>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바탕 Regular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경기천년바탕 Regular"/>
            <x:sz val="9"/>
            <x:color rgb="ff000000"/>
            <x:b val="1"/>
          </x:rPr>
        </mc:Fallback>
      </mc:AlternateContent>
      <x:t>○ 연도별 예산액 변경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바탕 Regular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경기천년바탕 Regular"/>
            <x:sz val="9"/>
            <x:color rgb="ff000000"/>
          </x:rPr>
        </mc:Fallback>
      </mc:AlternateContent>
      <x:t xml:space="preserve"> </x:t>
    </x:r>
  </x:si>
  <x:si>
    <x:t xml:space="preserve">○ 연도별 예산액 변경 </x:t>
  </x:si>
  <x:si>
    <x:t>(건설국 - 도로정책과)</x:t>
  </x:si>
  <x:si>
    <x:t>경기건축문화제(자체/직접)</x:t>
  </x:si>
  <x:si>
    <x:t>통합재정안정화기금 예탁금</x:t>
  </x:si>
  <x:si>
    <x:t>소각시설 설치(국비/지원)</x:t>
  </x:si>
  <x:si>
    <x:t>청사시설운영관리(자체/직접)</x:t>
  </x:si>
  <x:si>
    <x:t xml:space="preserve">     사업(자체/직접)</x:t>
  </x:si>
  <x:si>
    <x:t>공중화장실 안심 비상벨 설치</x:t>
  </x:si>
  <x:si>
    <x:t>○ 경기도기록원 설립사업</x:t>
  </x:si>
  <x:si>
    <x:t>햇살하우징사업(자체/직접)</x:t>
  </x:si>
  <x:si>
    <x:t>순환경제특별회계 전출금</x:t>
  </x:si>
  <x:si>
    <x:t>생활자원회수센터 현대화사업</x:t>
  </x:si>
  <x:si>
    <x:t>수질정책과 도비 이자반납금</x:t>
  </x:si>
  <x:si>
    <x:t>수질총량정책수립(자체/직접)</x:t>
  </x:si>
  <x:si>
    <x:t>개발제한구역 주민지원사업</x:t>
  </x:si>
  <x:si>
    <x:t xml:space="preserve">            금릉동</x:t>
  </x:si>
  <x:si>
    <x:t>(변경) 2015~2027</x:t>
  </x:si>
  <x:si>
    <x:t>수질정책과 도비 사용잔액</x:t>
  </x:si>
  <x:si>
    <x:t>안성시 소각시설 확충사업</x:t>
  </x:si>
  <x:si>
    <x:t>(당초) 2015~2026</x:t>
  </x:si>
  <x:si>
    <x:t>자원순환과 지방채 차입금</x:t>
  </x:si>
  <x:si>
    <x:t xml:space="preserve">○ 연도별 예산액 변경  </x:t>
  </x:si>
  <x:si>
    <x:t xml:space="preserve">   (총사업비 변경 없음)</x:t>
  </x:si>
  <x:si>
    <x:r>
      <x:t xml:space="preserve">직접입력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제목 Medium"/>
            <x:sz val="2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경기천년제목 Medium"/>
            <x:sz val="20"/>
            <x:color rgb="ff000000"/>
          </x:rPr>
        </mc:Fallback>
      </mc:AlternateContent>
      <x:t xml:space="preserve">(지방채/지역개발기금인 경우만 금액 입력)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제목 Medium"/>
            <x:sz val="18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경기천년제목 Medium"/>
            <x:sz val="18"/>
            <x:color rgb="ffff0000"/>
          </x:rPr>
        </mc:Fallback>
      </mc:AlternateContent>
      <x:t>*부기명에 (지방채) 또는 (지역개발기금) 포함시</x:t>
    </x:r>
  </x:si>
  <x:si>
    <x:t xml:space="preserve"> - '26년 2회 추경에 따른 집행계획 변경</x:t>
  </x:si>
  <x:si>
    <x:t xml:space="preserve"> · 위   치 : 서울시 강동~하남 미사~</x:t>
  </x:si>
  <x:si>
    <x:t>26년 2회추경에 따른 연도별 집행계획 변경</x:t>
  </x:si>
  <x:si>
    <x:t xml:space="preserve">   제2025-05호(2025.7.25.)</x:t>
  </x:si>
  <x:si>
    <x:t xml:space="preserve"> · 위   치 : 경부선 안양시, 군포시, </x:t>
  </x:si>
  <x:si>
    <x:t xml:space="preserve"> - (국토부) 지연에 따라 기본계획 수립 </x:t>
  </x:si>
  <x:si>
    <x:t xml:space="preserve"> · 사업량 : L-2.60km, B=10.0m</x:t>
  </x:si>
  <x:si>
    <x:t xml:space="preserve"> · 위   치 : 이천시 마장면 덕평리 ~</x:t>
  </x:si>
  <x:si>
    <x:t xml:space="preserve"> · 사업량 : L=5.10km, B=20m</x:t>
  </x:si>
  <x:si>
    <x:t>26년 2회 추경에 따른 연도별 예산액 변경</x:t>
  </x:si>
  <x:si>
    <x:t xml:space="preserve"> · 위   치 : 안성시 일죽면 금산리 ~</x:t>
  </x:si>
  <x:si>
    <x:t xml:space="preserve"> · 사업량 : L=1.1km, B=11.0m</x:t>
  </x:si>
  <x:si>
    <x:t xml:space="preserve"> · 사업량 : L=3.70km, B=17.5m</x:t>
  </x:si>
  <x:si>
    <x:t xml:space="preserve">            용인시 처인구 모현읍 매산리</x:t>
  </x:si>
  <x:si>
    <x:t xml:space="preserve"> · 위   치 : 안성시 공도읍 양기리 ~</x:t>
  </x:si>
  <x:si>
    <x:t xml:space="preserve"> · 위   치 : 파주시 광탄면 방축리 ~</x:t>
  </x:si>
  <x:si>
    <x:t xml:space="preserve"> · 사업량 : L=2.90km, B=18.0m</x:t>
  </x:si>
  <x:si>
    <x:t xml:space="preserve"> · 사업량 : L=2.13km, B=17.5m</x:t>
  </x:si>
  <x:si>
    <x:t xml:space="preserve"> · 사업량 : L=2.4km, B=20.0m</x:t>
  </x:si>
  <x:si>
    <x:t xml:space="preserve"> · 위   치 : 안성시 공도읍 용두리 ~</x:t>
  </x:si>
  <x:si>
    <x:t xml:space="preserve"> · 위   치 : 용인시 남사면 완장리 ~</x:t>
  </x:si>
  <x:si>
    <x:t xml:space="preserve"> · 사업량 : L=4.61km, B=17.5m</x:t>
  </x:si>
  <x:si>
    <x:t xml:space="preserve"> · 사업량 : L-4.67km, B=10.0m</x:t>
  </x:si>
  <x:si>
    <x:t xml:space="preserve"> · 위   치 : 이천시 설성면 신필리 ~</x:t>
  </x:si>
  <x:si>
    <x:t xml:space="preserve"> · 위   치 : 화성시 정남면 발산리 ~</x:t>
  </x:si>
  <x:si>
    <x:t xml:space="preserve"> · 사업량 : L=4.56km, B=10.0m</x:t>
  </x:si>
  <x:si>
    <x:t xml:space="preserve">            이천시 장호원읍 선읍리</x:t>
  </x:si>
  <x:si>
    <x:t xml:space="preserve"> · 사업량 : L=4.46km, B=17.5m</x:t>
  </x:si>
  <x:si>
    <x:t xml:space="preserve"> · 사업량 : L=4.43km, B=20.0m</x:t>
  </x:si>
  <x:si>
    <x:t xml:space="preserve">            용인시 처인구 이동읍 서리</x:t>
  </x:si>
  <x:si>
    <x:t xml:space="preserve"> · 위   치 : 안성시 공도읍 만정리 ~</x:t>
  </x:si>
  <x:si>
    <x:t xml:space="preserve"> · 위   치 : 파주시 탄현면 축현리 ~</x:t>
  </x:si>
  <x:si>
    <x:t xml:space="preserve"> · 사업량 : L=2.86km, B=20m</x:t>
  </x:si>
  <x:si>
    <x:t xml:space="preserve"> · 사업량 : L=2.66km, B=20m</x:t>
  </x:si>
  <x:si>
    <x:t xml:space="preserve"> · 사업량 : L=3.59km, B=20m</x:t>
  </x:si>
  <x:si>
    <x:t xml:space="preserve"> · 사업량 : L-2.23km, B=10.0m</x:t>
  </x:si>
  <x:si>
    <x:t xml:space="preserve">             ~ 여주시 점동면 흔암리</x:t>
  </x:si>
  <x:si>
    <x:t xml:space="preserve"> · 사업량 : L=3.44km, B=17.5m</x:t>
  </x:si>
  <x:si>
    <x:t xml:space="preserve"> · 사업량 : L=4.2km, B=17.5m</x:t>
  </x:si>
  <x:si>
    <x:t xml:space="preserve"> · 사업량 : L=4.52km, B=20m</x:t>
  </x:si>
  <x:si>
    <x:t xml:space="preserve"> · 위   치 : 남양주시 화도읍 마석우리</x:t>
  </x:si>
  <x:si>
    <x:t xml:space="preserve"> · 사업량 : L=2.5㎞, B=20.0m</x:t>
  </x:si>
  <x:si>
    <x:t xml:space="preserve"> · 사업량 : L=7.2km, B=17.5m</x:t>
  </x:si>
  <x:si>
    <x:t xml:space="preserve"> · 위   치 : 화성시 우정읍 어은리 ~</x:t>
  </x:si>
  <x:si>
    <x:t xml:space="preserve"> · 사업량 : L=6.9km, B=17.5m</x:t>
  </x:si>
  <x:si>
    <x:t xml:space="preserve">             용인시 처인구 남사면</x:t>
  </x:si>
  <x:si>
    <x:t xml:space="preserve"> · 사업량 : L=10.4㎞, B=13.5m</x:t>
  </x:si>
  <x:si>
    <x:t xml:space="preserve"> · 사업량 : L=4.25km, B=11.5m</x:t>
  </x:si>
  <x:si>
    <x:t xml:space="preserve"> · 위   치 : 양주시 장흥면 부곡리 ~</x:t>
  </x:si>
  <x:si>
    <x:t xml:space="preserve"> · 사업량 : L=4.3km, B=10.5m</x:t>
  </x:si>
  <x:si>
    <x:t xml:space="preserve"> · 사업량 : L=8.13km, B=18.5m</x:t>
  </x:si>
  <x:si>
    <x:t xml:space="preserve"> · 위   치 : 남양주시 오남읍 오남리~</x:t>
  </x:si>
  <x:si>
    <x:t xml:space="preserve"> · 사업량 : L=8.49km, B=18.5m</x:t>
  </x:si>
  <x:si>
    <x:t xml:space="preserve"> · 위   치 : 남양주시 와부읍 창현리~</x:t>
  </x:si>
  <x:si>
    <x:t xml:space="preserve"> · 위   치 : 광주시 곤지암읍 열미리~</x:t>
  </x:si>
  <x:si>
    <x:t xml:space="preserve"> · 사업량 : 8,610.25㎡ (옛청사 일부)</x:t>
  </x:si>
  <x:si>
    <x:t xml:space="preserve"> · 사업량 : L=3.86km, B=18.5m</x:t>
  </x:si>
  <x:si>
    <x:t xml:space="preserve"> · 위   치 : 수원시 팔달구 효원로 1</x:t>
  </x:si>
  <x:si>
    <x:t>2026년도 제2회 추가경정예산 계속비 사업 조서</x:t>
  </x:si>
  <x:si>
    <x:t>국토부 녹색도시과-5019(2026 9. 4.)호</x:t>
  </x:si>
  <x:si>
    <x:t xml:space="preserve">                901-1, 875</x:t>
  </x:si>
  <x:si>
    <x:t xml:space="preserve">   - 현재 설계진행 중(26.4월 착수)</x:t>
  </x:si>
  <x:si>
    <x:t xml:space="preserve">                연면적 990㎡</x:t>
  </x:si>
  <x:si>
    <x:t xml:space="preserve"> · 위   치 : 양성면 구장리 산 6-1</x:t>
  </x:si>
  <x:si>
    <x:t xml:space="preserve">  - 부지 2,918㎡, 연면적 1,496㎡</x:t>
  </x:si>
  <x:si>
    <x:t xml:space="preserve">                144-26외 3필지</x:t>
  </x:si>
  <x:si>
    <x:t xml:space="preserve">    300,000천원) 으로 연도별 배정</x:t>
  </x:si>
  <x:si>
    <x:t xml:space="preserve">   반영(대광위 고시 제2024-918호)</x:t>
  </x:si>
  <x:si>
    <x:t xml:space="preserve">              연면적 6,089㎡</x:t>
  </x:si>
  <x:si>
    <x:t xml:space="preserve">               영덕동 1116번지</x:t>
  </x:si>
  <x:si>
    <x:t xml:space="preserve">              지하 1층/지상 4층 </x:t>
  </x:si>
  <x:si>
    <x:t xml:space="preserve">               지상 2층</x:t>
  </x:si>
  <x:si>
    <x:t xml:space="preserve">  예산(안전체험관 추가 설계비) 요구</x:t>
  </x:si>
  <x:si>
    <x:t xml:space="preserve">                지상 2층</x:t>
  </x:si>
  <x:si>
    <x:t xml:space="preserve">   - 토지 3,184㎡, 건물 990㎡</x:t>
  </x:si>
  <x:si>
    <x:t xml:space="preserve">    (8개월) 추가 소요로 기간 연장</x:t>
  </x:si>
  <x:si>
    <x:t>예비비 증감
 - 감액,
+ 증액에 입력</x:t>
  </x:si>
  <x:si>
    <x:t>중소기업육성기금(창업및경쟁력강화자금)</x:t>
  </x:si>
  <x:si>
    <x:t xml:space="preserve">       (변경) 2025~2028</x:t>
  </x:si>
  <x:si>
    <x:t xml:space="preserve">               연면적 990㎡</x:t>
  </x:si>
  <x:si>
    <x:t xml:space="preserve"> · 기   간 : 2024 ~ 2028</x:t>
  </x:si>
  <x:si>
    <x:t xml:space="preserve">      으로 공정상 당해년도 필요</x:t>
  </x:si>
  <x:si>
    <x:t>2026년 제2회 추가경정 일반회계 검증</x:t>
  </x:si>
  <x:si>
    <x:t xml:space="preserve">      (당초) 2025~2027 →</x:t>
  </x:si>
  <x:si>
    <x:t xml:space="preserve">     공정상 27년 예산액(공사비)</x:t>
  </x:si>
  <x:si>
    <x:t xml:space="preserve">  - 현재 설계진행 중(26.2월 착수)</x:t>
  </x:si>
  <x:si>
    <x:t xml:space="preserve"> · 위   치 : 시흥시 장곡동 953 </x:t>
  </x:si>
  <x:si>
    <x:t xml:space="preserve">   - 사전행정절차(건축기획용역 등)</x:t>
  </x:si>
  <x:si>
    <x:t xml:space="preserve"> · 위   치 : 고양시 덕양구 대자동</x:t>
  </x:si>
  <x:si>
    <x:t xml:space="preserve"> · 기   간 : 2026 ~ 2029</x:t>
  </x:si>
  <x:si>
    <x:t xml:space="preserve"> · 위   치 : 동두천시 상봉암동</x:t>
  </x:si>
  <x:si>
    <x:t xml:space="preserve">   300,000천원) 으로 연도별 배정</x:t>
  </x:si>
  <x:si>
    <x:t xml:space="preserve"> - 26년 2추경 감액(설계비 준공금</x:t>
  </x:si>
  <x:si>
    <x:t xml:space="preserve"> · 기   간 : 2025~2028</x:t>
  </x:si>
  <x:si>
    <x:t xml:space="preserve"> · 위   치 : 경인선 부천시 구간</x:t>
  </x:si>
  <x:si>
    <x:t xml:space="preserve"> · 위   치 : 용인특례시 기흥구</x:t>
  </x:si>
  <x:si>
    <x:t xml:space="preserve"> · 사업량 :  L=17.59㎞, </x:t>
  </x:si>
  <x:si>
    <x:t xml:space="preserve"> · 기   간 : 2025 ~ 2029</x:t>
  </x:si>
  <x:si>
    <x:t xml:space="preserve">                남양주 왕숙 </x:t>
  </x:si>
  <x:si>
    <x:t>○ 화성 마도화학구조119안전센터 신축</x:t>
  </x:si>
  <x:si>
    <x:t xml:space="preserve">               정거장 6개소</x:t>
  </x:si>
  <x:si>
    <x:t xml:space="preserve"> · 기   간 : 2026~2029</x:t>
  </x:si>
  <x:si>
    <x:t xml:space="preserve"> · 사업량 : 경의중앙선 철도지하화 </x:t>
  </x:si>
  <x:si>
    <x:t xml:space="preserve"> · 위   치 : 경의중앙선 파주시 구간</x:t>
  </x:si>
  <x:si>
    <x:t xml:space="preserve">               의왕시, 평택시</x:t>
  </x:si>
  <x:si>
    <x:t xml:space="preserve">    300,000천원)으로 연도별 배정</x:t>
  </x:si>
  <x:si>
    <x:t xml:space="preserve">            통합개발사업 추진</x:t>
  </x:si>
  <x:si>
    <x:t xml:space="preserve">   (국토교통부 재정담당관-8157</x:t>
  </x:si>
  <x:si>
    <x:t xml:space="preserve"> · 기   간 : 2024 ~ 2029</x:t>
  </x:si>
  <x:si>
    <x:t xml:space="preserve"> · 위   치 : 하남시 감일동~신장동</x:t>
  </x:si>
  <x:si>
    <x:t xml:space="preserve"> · 사업량 : L=5.6km, B=20m</x:t>
  </x:si>
  <x:si>
    <x:t xml:space="preserve"> · 기   간 : 2021~2031</x:t>
  </x:si>
  <x:si>
    <x:t>26년 2회추경에 따른 연도별 예산액 변경</x:t>
  </x:si>
  <x:si>
    <x:t xml:space="preserve"> · 기   간 : 2017 ~ 2028</x:t>
  </x:si>
  <x:si>
    <x:t xml:space="preserve"> - 철도지하화 통합개발 종합계획 발표</x:t>
  </x:si>
  <x:si>
    <x:t xml:space="preserve"> · 기   간 : 2025~2029</x:t>
  </x:si>
  <x:si>
    <x:t xml:space="preserve">               안산시 구간</x:t>
  </x:si>
  <x:si>
    <x:t xml:space="preserve"> · 위   치 : 안산선 군포시, </x:t>
  </x:si>
  <x:si>
    <x:t xml:space="preserve"> 반영 및 물가변동 반영 등에 따른 </x:t>
  </x:si>
  <x:si>
    <x:t xml:space="preserve"> · 기 간 : 2019 ~ 2031</x:t>
  </x:si>
  <x:si>
    <x:t xml:space="preserve"> · 위   치 : 화성시 마도면 백곡리 </x:t>
  </x:si>
  <x:si>
    <x:t xml:space="preserve"> · 기   간 : 2022 ~ 2032</x:t>
  </x:si>
  <x:si>
    <x:t xml:space="preserve"> - 총사업비 및 사업기간 조정결과 반영</x:t>
  </x:si>
  <x:si>
    <x:t xml:space="preserve"> · 위   치 : 서울시 도봉구 ~</x:t>
  </x:si>
  <x:si>
    <x:t xml:space="preserve">            안성시 양성면 동항리</x:t>
  </x:si>
  <x:si>
    <x:t>○ 관리-유정 도로확포장(이천,광주)</x:t>
  </x:si>
  <x:si>
    <x:t xml:space="preserve"> · 위   치 : 여주시 점동면 처리</x:t>
  </x:si>
  <x:si>
    <x:t xml:space="preserve">            광주시 도척면 유정리</x:t>
  </x:si>
  <x:si>
    <x:t xml:space="preserve"> · 기   간 : 2026 ~ 2034</x:t>
  </x:si>
  <x:si>
    <x:t xml:space="preserve"> · 위 치 : 파주시 탄현면 갈현리~</x:t>
  </x:si>
  <x:si>
    <x:t xml:space="preserve">              호법면 매곡리</x:t>
  </x:si>
  <x:si>
    <x:t>○ 안성 공도-양성(2) 도로확포장(안성)</x:t>
  </x:si>
  <x:si>
    <x:t xml:space="preserve"> · 기   간 : 2024 ~ 2032</x:t>
  </x:si>
  <x:si>
    <x:t xml:space="preserve"> · 기   간 : 2022 ~ 2027</x:t>
  </x:si>
  <x:si>
    <x:t>○ 안성 일죽-도계 도로확포장(안성)</x:t>
  </x:si>
  <x:si>
    <x:t xml:space="preserve">            이천시 율면 산양리</x:t>
  </x:si>
  <x:si>
    <x:t>○ 내방-연하 도로확포장(남양주,가평)</x:t>
  </x:si>
  <x:si>
    <x:t xml:space="preserve"> · 사업량 : L=3.3㎞, B=20m</x:t>
  </x:si>
  <x:si>
    <x:t xml:space="preserve">            양주시 광적면 비암리</x:t>
  </x:si>
  <x:si>
    <x:t xml:space="preserve">           ~가평군 상면 연하리</x:t>
  </x:si>
  <x:si>
    <x:t>최종 이월조서 : 2025년 2회 추경</x:t>
  </x:si>
  <x:si>
    <x:t xml:space="preserve">            안성시 공도읍 신두리</x:t>
  </x:si>
  <x:si>
    <x:t>○ 금당-선읍 도로확포장(이천,광주)</x:t>
  </x:si>
  <x:si>
    <x:t xml:space="preserve">           파주시 탄현면 금승리</x:t>
  </x:si>
  <x:si>
    <x:t xml:space="preserve"> · 기   간 : 2007 ~ 2027</x:t>
  </x:si>
  <x:si>
    <x:t xml:space="preserve"> · 위   치 : 이천시 마장면 관리 ~</x:t>
  </x:si>
  <x:si>
    <x:t xml:space="preserve"> · 기   간 : 2022 ~ 2028</x:t>
  </x:si>
  <x:si>
    <x:t xml:space="preserve">             ~ 퇴촌면 광동리</x:t>
  </x:si>
  <x:si>
    <x:t xml:space="preserve"> · 위   치 : 광주시 초월읍 무갑리</x:t>
  </x:si>
  <x:si>
    <x:t xml:space="preserve"> · 기   간 : 2025 ~ 2033</x:t>
  </x:si>
  <x:si>
    <x:t xml:space="preserve"> · 기   간 : 2021 ~ 2030</x:t>
  </x:si>
  <x:si>
    <x:t>○ 방축-비암 도로확포장(파주,양주)</x:t>
  </x:si>
  <x:si>
    <x:t xml:space="preserve">           파주시 갈현면 축현리</x:t>
  </x:si>
  <x:si>
    <x:t xml:space="preserve">            화성시 정남면 수면리</x:t>
  </x:si>
  <x:si>
    <x:t xml:space="preserve"> · 기 간 : 2020 ~ 2030</x:t>
  </x:si>
  <x:si>
    <x:t xml:space="preserve"> · 위   치 : 남양주시 수동면 내방리</x:t>
  </x:si>
  <x:si>
    <x:t xml:space="preserve"> · 기  간 : 2023 ~ 2030</x:t>
  </x:si>
  <x:si>
    <x:t xml:space="preserve"> · 위 치 : 연천군 군남면 옥계리 ~</x:t>
  </x:si>
  <x:si>
    <x:t xml:space="preserve"> · 위   치 : 화성시 장지동 ~</x:t>
  </x:si>
  <x:si>
    <x:t>○ 장지-남사 국지도건설(화성,용인)</x:t>
  </x:si>
  <x:si>
    <x:t xml:space="preserve">            양평군 강하면 운심리</x:t>
  </x:si>
  <x:si>
    <x:t xml:space="preserve"> · 사업량 : L=2.9km, B=9m</x:t>
  </x:si>
  <x:si>
    <x:t xml:space="preserve"> · 기 간 : 2020 ~ 2029</x:t>
  </x:si>
  <x:si>
    <x:t xml:space="preserve"> · 기   간 : 2023 ~ 2027</x:t>
  </x:si>
  <x:si>
    <x:t xml:space="preserve">           파주시 문산면 내포리</x:t>
  </x:si>
  <x:si>
    <x:t xml:space="preserve"> · 기   간 : 2017 ~ 2026</x:t>
  </x:si>
  <x:si>
    <x:t xml:space="preserve">          ~ 포천시 가산면 마산리</x:t>
  </x:si>
  <x:si>
    <x:t xml:space="preserve"> · 기 간 : 2025 ~ 2032</x:t>
  </x:si>
  <x:si>
    <x:t xml:space="preserve"> · 기   간 : 2020 ~ 2029</x:t>
  </x:si>
  <x:si>
    <x:t xml:space="preserve">         ~ 남양주시 수동면 운수리</x:t>
  </x:si>
  <x:si>
    <x:t xml:space="preserve"> · 위 치 : 양평군 서종면 수능리 ~</x:t>
  </x:si>
  <x:si>
    <x:t xml:space="preserve"> · 기   간 : 2025 ~ 2032</x:t>
  </x:si>
  <x:si>
    <x:t xml:space="preserve"> · 기   간 : 2021 ~ 2027</x:t>
  </x:si>
  <x:si>
    <x:t xml:space="preserve"> · 사업량 : L=0.7km, 교차로개량</x:t>
  </x:si>
  <x:si>
    <x:t xml:space="preserve"> · 기 간 : 2019 ~ 2028</x:t>
  </x:si>
  <x:si>
    <x:t>25년 예산 변경에 따른 예산액 변경</x:t>
  </x:si>
  <x:si>
    <x:t xml:space="preserve"> · 사업량 : L=3.3km, B=20m</x:t>
  </x:si>
  <x:si>
    <x:t xml:space="preserve">           안성시 양성면 방신리</x:t>
  </x:si>
  <x:si>
    <x:t xml:space="preserve"> · 위   치 : 포천시 소흘읍 하송우리</x:t>
  </x:si>
  <x:si>
    <x:t>○ 공도-양성(1) 도로확포장(안성)</x:t>
  </x:si>
  <x:si>
    <x:t xml:space="preserve"> · 위 치 : 안성시 미양면 양지리</x:t>
  </x:si>
  <x:si>
    <x:t xml:space="preserve"> · 기  간 : 2025 ~ 2032</x:t>
  </x:si>
  <x:si>
    <x:t xml:space="preserve"> · 위 치 : 포천 신북면 심곡리 ~</x:t>
  </x:si>
  <x:si>
    <x:t xml:space="preserve"> · 기  간 : 2026 ~ 2034</x:t>
  </x:si>
  <x:si>
    <x:t xml:space="preserve"> · 위 치 : 파주시 조리읍 등원리 ~</x:t>
  </x:si>
  <x:si>
    <x:t xml:space="preserve">              하성면 마곡리</x:t>
  </x:si>
  <x:si>
    <x:t xml:space="preserve"> · 위   치 : 김포시 운양동 ~</x:t>
  </x:si>
  <x:si>
    <x:t xml:space="preserve"> · 위 치 : 양주시 장흥면 부곡리 ~</x:t>
  </x:si>
  <x:si>
    <x:t>○ 광주-양평 국지도건설(광주,양평)</x:t>
  </x:si>
  <x:si>
    <x:t xml:space="preserve"> · 위 치 : 광주시 퇴촌면 광동리 ~</x:t>
  </x:si>
  <x:si>
    <x:t xml:space="preserve"> · 기   간 : 2019 ~ 2027</x:t>
  </x:si>
  <x:si>
    <x:t xml:space="preserve"> · 기 간 : 2021 ~ 2029</x:t>
  </x:si>
  <x:si>
    <x:t xml:space="preserve">            화성시 향남읍 제암리</x:t>
  </x:si>
  <x:si>
    <x:t xml:space="preserve"> · 기 간 : 2020 ~ 2028</x:t>
  </x:si>
  <x:si>
    <x:t xml:space="preserve">            양주시 백석읍 홍죽리</x:t>
  </x:si>
  <x:si>
    <x:t xml:space="preserve"> · 기   간 : 2015 ~ 2027</x:t>
  </x:si>
  <x:si>
    <x:t xml:space="preserve">  '26년 실집행가능 예산범위 내 조정</x:t>
  </x:si>
  <x:si>
    <x:t>경기도 청년 전·월세 보증금 이자 지원</x:t>
  </x:si>
  <x:si>
    <x:t>생활자원회수센터 현대화사업(국비/지원)</x:t>
  </x:si>
  <x:si>
    <x:t>○ 갈천-가수 국지도건설(화성,오산)</x:t>
  </x:si>
  <x:si>
    <x:t>저소득층 전세금 대출보증 및 이자지원</x:t>
  </x:si>
  <x:si>
    <x:t xml:space="preserve"> · 위 치 : 포천시 군내면 직두리 ~</x:t>
  </x:si>
  <x:si>
    <x:t xml:space="preserve"> · 기   간 : 2024 ~ 2027</x:t>
  </x:si>
  <x:si>
    <x:t>노후 승강기 등 공동주택 주거환경개선 지원</x:t>
  </x:si>
  <x:si>
    <x:t xml:space="preserve"> · 사업량 : L=5.5㎞, B=10m</x:t>
  </x:si>
  <x:si>
    <x:t xml:space="preserve"> · 기   간 : 2015 ~ 2028</x:t>
  </x:si>
  <x:si>
    <x:t xml:space="preserve"> · 기   간 : 2020 ~ 2026</x:t>
  </x:si>
  <x:si>
    <x:t xml:space="preserve"> · 기   간 : 2020 ~ 2028</x:t>
  </x:si>
  <x:si>
    <x:t xml:space="preserve">          남양주시 와부읍 금남리</x:t>
  </x:si>
  <x:si>
    <x:t xml:space="preserve"> · 위   치 : 화성시 향남면 동오리~</x:t>
  </x:si>
  <x:si>
    <x:t xml:space="preserve">           광주시 곤지암읍 만선리</x:t>
  </x:si>
  <x:si>
    <x:t>경기도 신혼부부 임차 보증금 이자 지원</x:t>
  </x:si>
  <x:si>
    <x:t>개발제한구역 주민지원사업(균특/지원)</x:t>
  </x:si>
  <x:si>
    <x:t>수원시 자원회수시설 대보수사업(지방채)</x:t>
  </x:si>
  <x:si>
    <x:t xml:space="preserve">  - (2구역) 제1별관, 행정도서관,</x:t>
  </x:si>
  <x:si>
    <x:t xml:space="preserve">          남양주시 수동면 지둔리</x:t>
  </x:si>
  <x:si>
    <x:r>
      <x:t xml:space="preserve">일반회계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ff0000"/>
            <x:b val="1"/>
          </x:rPr>
        </mc:Fallback>
      </mc:AlternateContent>
      <x:t>세출(자체)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000000"/>
            <x:b val="1"/>
          </x:rPr>
        </mc:Fallback>
      </mc:AlternateContent>
      <x:t xml:space="preserve"> 예산 조정(안)</x:t>
    </x:r>
  </x:si>
  <x:si>
    <x:r>
      <x:t xml:space="preserve">일반회계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ff0000"/>
            <x:b val="1"/>
          </x:rPr>
        </mc:Fallback>
      </mc:AlternateContent>
      <x:t>세출(의존)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견명조"/>
            <x:sz val="4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HY견명조"/>
            <x:sz val="48"/>
            <x:color rgb="ff000000"/>
            <x:b val="1"/>
          </x:rPr>
        </mc:Fallback>
      </mc:AlternateContent>
      <x:t xml:space="preserve"> 예산 조정(안)</x:t>
    </x:r>
  </x:si>
  <x:si>
    <x:r>
      <x:t xml:space="preserve">○ 총사업비 변경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바탕 Regular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경기천년바탕 Regular"/>
            <x:sz val="9"/>
            <x:color rgb="ff000000"/>
          </x:rPr>
        </mc:Fallback>
      </mc:AlternateContent>
      <x:t xml:space="preserve">기본계획 고시 </x:t>
    </x:r>
  </x:si>
  <x:si>
    <x:r>
      <x:t xml:space="preserve">○ 사업기간 변경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경기천년바탕 Regular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경기천년바탕 Regular"/>
            <x:sz val="9"/>
            <x:color rgb="ff000000"/>
          </x:rPr>
        </mc:Fallback>
      </mc:AlternateContent>
      <x:t xml:space="preserve">기본계획 고시 </x:t>
    </x:r>
  </x:si>
  <x:si>
    <x:t>30407-1</x:t>
  </x:si>
  <x:si>
    <x:t>30407-2</x:t>
  </x:si>
  <x:si>
    <x:t>위원회명</x:t>
  </x:si>
  <x:si>
    <x:t>기획예산담당관</x:t>
  </x:si>
  <x:si>
    <x:t>기획행정과</x:t>
  </x:si>
  <x:si>
    <x:t>자치행정국</x:t>
  </x:si>
  <x:si>
    <x:t>기획재정위원회</x:t>
  </x:si>
  <x:si>
    <x:t>안전행정위원회</x:t>
  </x:si>
  <x:si>
    <x:t>기획조정실</x:t>
  </x:si>
  <x:si>
    <x:t>소방행정기획과</x:t>
  </x:si>
  <x:si>
    <x:t>의회사무처</x:t>
  </x:si>
  <x:si>
    <x:t>법무담당관</x:t>
  </x:si>
  <x:si>
    <x:t>자치행정과</x:t>
  </x:si>
  <x:si>
    <x:t>안전기획과</x:t>
  </x:si>
  <x:si>
    <x:t>수원소방서</x:t>
  </x:si>
  <x:si>
    <x:t>성남소방서</x:t>
  </x:si>
  <x:si>
    <x:t>행정심판담당관</x:t>
  </x:si>
  <x:si>
    <x:t>소방행정과</x:t>
  </x:si>
  <x:si>
    <x:t>언론협력담당관</x:t>
  </x:si>
  <x:si>
    <x:t>정렬순서</x:t>
  </x:si>
  <x:si>
    <x:t>보도기획담당관</x:t>
  </x:si>
  <x:si>
    <x:t>기획담당관</x:t>
  </x:si>
  <x:si>
    <x:t>균형발전기획실</x:t>
  </x:si>
  <x:si>
    <x:t>예산담당관</x:t>
  </x:si>
  <x:si>
    <x:t>투자유치과</x:t>
  </x:si>
  <x:si>
    <x:t>의회운영위원회</x:t>
  </x:si>
  <x:si>
    <x:t>균형발전담당관</x:t>
  </x:si>
  <x:si>
    <x:t>양주소방서</x:t>
  </x:si>
  <x:si>
    <x:t>동두천소방서</x:t>
  </x:si>
  <x:si>
    <x:t>시흥소방서</x:t>
  </x:si>
  <x:si>
    <x:t>이천소방서</x:t>
  </x:si>
  <x:si>
    <x:t>군포소방서</x:t>
  </x:si>
  <x:si>
    <x:t>고양소방서</x:t>
  </x:si>
  <x:si>
    <x:t>구리소방서</x:t>
  </x:si>
  <x:si>
    <x:t>가평소방서</x:t>
  </x:si>
  <x:si>
    <x:t>의정부소방서</x:t>
  </x:si>
  <x:si>
    <x:t>연천소방서</x:t>
  </x:si>
  <x:si>
    <x:t>광주소방서</x:t>
  </x:si>
  <x:si>
    <x:t>양평소방서</x:t>
  </x:si>
  <x:si>
    <x:t>과천소방서</x:t>
  </x:si>
  <x:si>
    <x:t>용인소방서</x:t>
  </x:si>
  <x:si>
    <x:t>송탄소방서</x:t>
  </x:si>
  <x:si>
    <x:t>여주소방서</x:t>
  </x:si>
  <x:si>
    <x:t>안산소방서</x:t>
  </x:si>
  <x:si>
    <x:t>하남소방서</x:t>
  </x:si>
  <x:si>
    <x:t>분당소방서</x:t>
  </x:si>
  <x:si>
    <x:t>부천소방서</x:t>
  </x:si>
  <x:si>
    <x:t>안양소방서</x:t>
  </x:si>
  <x:si>
    <x:t>광명소방서</x:t>
  </x:si>
  <x:si>
    <x:t>화성소방서</x:t>
  </x:si>
  <x:si>
    <x:t>평택소방서</x:t>
  </x:si>
  <x:si>
    <x:t>김포소방서</x:t>
  </x:si>
  <x:si>
    <x:t>안성소방서</x:t>
  </x:si>
  <x:si>
    <x:t>의왕소방서</x:t>
  </x:si>
  <x:si>
    <x:t>오산소방서</x:t>
  </x:si>
  <x:si>
    <x:t>일산소방서</x:t>
  </x:si>
  <x:si>
    <x:t>남양주소방서</x:t>
  </x:si>
  <x:si>
    <x:t>파주소방서</x:t>
  </x:si>
  <x:si>
    <x:t>포천소방서</x:t>
  </x:si>
  <x:si>
    <x:t>농업정책과</x:t>
  </x:si>
  <x:si>
    <x:t>북부지원</x:t>
  </x:si>
  <x:si>
    <x:t>문화유산과</x:t>
  </x:si>
  <x:si>
    <x:t>환경농업연구과</x:t>
  </x:si>
  <x:si>
    <x:t>농촌자원과</x:t>
  </x:si>
  <x:si>
    <x:t>철도건설과</x:t>
  </x:si>
  <x:si>
    <x:t>버스정책과</x:t>
  </x:si>
  <x:si>
    <x:t>도로건설과</x:t>
  </x:si>
  <x:si>
    <x:t>건설교통위원회</x:t>
  </x:si>
  <x:si>
    <x:t>비상기획담당관</x:t>
  </x:si>
  <x:si>
    <x:t>문화체육관광국</x:t>
  </x:si>
  <x:si>
    <x:t>장애인복지과</x:t>
  </x:si>
  <x:si>
    <x:t>식품안전과</x:t>
  </x:si>
  <x:si>
    <x:t>북부도로과</x:t>
  </x:si>
  <x:si>
    <x:t>건축시설과</x:t>
  </x:si>
  <x:si>
    <x:t>농정해양위원회</x:t>
  </x:si>
  <x:si>
    <x:t>원예연구과</x:t>
  </x:si>
  <x:si>
    <x:t>소득자원연구소</x:t>
  </x:si>
  <x:si>
    <x:t>도로정책과</x:t>
  </x:si>
  <x:si>
    <x:t>건강증진과</x:t>
  </x:si>
  <x:si>
    <x:t>지역정책과</x:t>
  </x:si>
  <x:si>
    <x:t>친환경농업과</x:t>
  </x:si>
  <x:si>
    <x:t>행정관리담당관</x:t>
  </x:si>
  <x:si>
    <x:t>종자관리소</x:t>
  </x:si>
  <x:si>
    <x:t>농식품유통과</x:t>
  </x:si>
  <x:si>
    <x:t>축산정책과</x:t>
  </x:si>
  <x:si>
    <x:t>동물방역위생과</x:t>
  </x:si>
  <x:si>
    <x:t>산림환경연구소</x:t>
  </x:si>
  <x:si>
    <x:t>작물연구과</x:t>
  </x:si>
  <x:si>
    <x:t>기술보급과</x:t>
  </x:si>
  <x:si>
    <x:t>보건복지위원회</x:t>
  </x:si>
  <x:si>
    <x:t>노인복지과</x:t>
  </x:si>
  <x:si>
    <x:t>도시환경위원회</x:t>
  </x:si>
  <x:si>
    <x:t>보육정책과</x:t>
  </x:si>
  <x:si>
    <x:t>자원순환과</x:t>
  </x:si>
  <x:si>
    <x:t>여성비전센터</x:t>
  </x:si>
  <x:si>
    <x:t>도시주택실</x:t>
  </x:si>
  <x:si>
    <x:t>여성가족국</x:t>
  </x:si>
  <x:si>
    <x:t>재원입력필요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</x:si>
</x:sst>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0">
    <x:numFmt numFmtId="164" formatCode="#,##0_ ;[Red]\-#,##0\ "/>
    <x:numFmt numFmtId="165" formatCode="#,##0;[Red]&quot;△&quot;#,##0"/>
    <x:numFmt numFmtId="166" formatCode="_ * #,##0_ ;_ * \-#,##0_ ;_ * &quot;-&quot;_ ;_ @_ "/>
    <x:numFmt numFmtId="167" formatCode="#,##0.00&quot;₩&quot;\!\ &quot;F&quot;;[Red]&quot;₩&quot;\!\-#,##0.00&quot;₩&quot;\!\ &quot;F&quot;"/>
    <x:numFmt numFmtId="168" formatCode="&quot;?#,##0;\-&quot;&quot;?&quot;#,##0"/>
    <x:numFmt numFmtId="169" formatCode="&quot;?#,##0.00;\-&quot;&quot;?&quot;#,##0.00"/>
    <x:numFmt numFmtId="170" formatCode="&quot;RM&quot;#,##0.00_);[Red]&quot;₩&quot;\!\(&quot;RM&quot;#,##0.00&quot;₩&quot;\!\)"/>
    <x:numFmt numFmtId="171" formatCode="0.000"/>
    <x:numFmt numFmtId="172" formatCode="#,##0;&quot;△&quot;#,##0"/>
    <x:numFmt numFmtId="173" formatCode="#,##0_ "/>
  </x:numFmts>
  <x:fonts count="10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뼻뮝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뼻뮝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UAAA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¹UAAA¼"/>
          <x:sz val="12"/>
          <x:color rgb="ff000000"/>
        </x:font>
      </mc:Fallback>
    </mc:AlternateConte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x:font>
      <x:name val="맑은 고딕"/>
      <x:sz val="10"/>
      <x:color rgb="ff000000"/>
    </x:font>
    <x:font>
      <x:name val="맑은 고딕"/>
      <x:sz val="45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궁서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궁서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cc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c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385724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385724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strike val="1"/>
          <hs:strikeoutType val="1"/>
          <hs:strikeoutShape val="solid"/>
          <hs:strikeout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cc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c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바탕 Regular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경기천년바탕 Regular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경기천년바탕 Regular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4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4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3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3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3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6"/>
          <x:color rgb="ff0000cc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16"/>
          <x:color rgb="ff0000c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cc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c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cc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c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바탕 Regular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경기천년바탕 Regular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Bold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경기천년바탕 Bold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바탕 Regular"/>
          <x:sz val="9"/>
          <x:color rgb="ffff0000"/>
          <x:strike val="1"/>
          <hs:strikeoutType val="1"/>
          <hs:strikeoutShape val="solid"/>
          <hs:strikeoutColor rgb="ffff0000"/>
          <hs:size val="100"/>
          <hs:ratio val="100"/>
          <hs:spacing val="0"/>
          <hs:offset val="0"/>
        </x:font>
      </mc:Choice>
      <mc:Fallback>
        <x:font>
          <x:name val="경기천년바탕 Regular"/>
          <x:sz val="9"/>
          <x:color rgb="ffff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cc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c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Medium"/>
          <x:sz val="36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Medium"/>
          <x:sz val="3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48"/>
          <x:color rgb="ff000000"/>
          <x:b val="1"/>
        </x:font>
      </mc:Fallback>
    </mc:AlternateContent>
    <x:font>
      <x:name val="HY견명조"/>
      <x:sz val="45"/>
      <x:color rgb="ff0000cc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42"/>
          <x:color rgb="ff0000cc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42"/>
          <x:color rgb="ff0000cc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3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3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Medium"/>
          <x:sz val="36"/>
          <x:color rgb="ff0000ff"/>
          <hs:size val="100"/>
          <hs:ratio val="100"/>
          <hs:spacing val="0"/>
          <hs:offset val="0"/>
        </x:font>
      </mc:Choice>
      <mc:Fallback>
        <x:font>
          <x:name val="경기천년제목 Medium"/>
          <x:sz val="36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Medium"/>
          <x:sz val="36"/>
          <x:color rgb="ffff0000"/>
          <hs:size val="100"/>
          <hs:ratio val="100"/>
          <hs:spacing val="0"/>
          <hs:offset val="0"/>
        </x:font>
      </mc:Choice>
      <mc:Fallback>
        <x:font>
          <x:name val="경기천년제목 Medium"/>
          <x:sz val="36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V Bold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V Bold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6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16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Medium"/>
          <x:sz val="18"/>
          <x:color rgb="ffff0000"/>
          <hs:size val="100"/>
          <hs:ratio val="100"/>
          <hs:spacing val="0"/>
          <hs:offset val="0"/>
        </x:font>
      </mc:Choice>
      <mc:Fallback>
        <x:font>
          <x:name val="경기천년제목 Medium"/>
          <x:sz val="1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Mediu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Medium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Mediu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Mediu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48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48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8"/>
          <x:color rgb="ff000000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ffc7ce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bfbfbf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2b2b2"/>
        <x:bgColor indexed="64"/>
      </x:patternFill>
    </x:fill>
    <x:fill>
      <x:patternFill patternType="solid">
        <x:fgColor rgb="fff1cb7e"/>
        <x:bgColor indexed="64"/>
      </x:patternFill>
    </x:fill>
    <x:fill>
      <x:patternFill patternType="solid">
        <x:fgColor rgb="ffc2dfa5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a8d08f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3399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7e6e6"/>
        <x:bgColor indexed="64"/>
      </x:patternFill>
    </x:fill>
  </x:fills>
  <x:borders count="14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>
      <x:left style="thin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  <x:xf numFmtId="166" fontId="6" fillId="0" borderId="0">
      <x:alignment horizontal="general" vertical="bottom"/>
    </x:xf>
    <x:xf numFmtId="0" fontId="7" fillId="0" borderId="0">
      <x:alignment horizontal="general" vertical="bottom"/>
    </x:xf>
    <x:xf numFmtId="0" fontId="30" fillId="0" borderId="0">
      <x:alignment horizontal="general" vertical="center"/>
    </x:xf>
    <x:xf numFmtId="0" fontId="6" fillId="0" borderId="0">
      <x:alignment horizontal="general" vertical="bottom"/>
    </x:xf>
    <x:xf numFmtId="0" fontId="30" fillId="0" borderId="0">
      <x:alignment horizontal="general" vertical="center"/>
    </x:xf>
    <x:xf numFmtId="166" fontId="6" fillId="0" borderId="0">
      <x:alignment horizontal="general" vertical="bottom"/>
    </x:xf>
    <x:xf numFmtId="0" fontId="6" fillId="0" borderId="0">
      <x:alignment horizontal="general" vertical="bottom"/>
    </x:xf>
    <x:xf numFmtId="0" fontId="31" fillId="2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</x:cellStyleXfs>
  <x:cellXfs count="104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3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Continuous" vertical="center"/>
        </x:xf>
      </mc:Fallback>
    </mc:AlternateContent>
    <x:xf numFmtId="0" fontId="3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2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0" xfId="0" applyNumberFormat="1" applyFont="1" applyAlignment="1">
          <x:alignment horizontal="right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0" fontId="34" fillId="0" borderId="0" xfId="0" applyNumberFormat="1" applyFont="1" applyFill="1" applyBorder="1" applyAlignment="1">
      <x:alignment horizontal="left" vertical="center"/>
    </x:xf>
    <x:xf numFmtId="0" fontId="3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2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>
          <x:alignment horizontal="center" vertical="center"/>
        </x:xf>
      </mc:Fallback>
    </mc:AlternateContent>
    <x:xf numFmtId="165" fontId="3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0" xfId="0" applyNumberFormat="1" applyFont="1" applyFill="1" applyAlignment="1">
          <x:alignment horizontal="right" vertical="center"/>
        </x:xf>
      </mc:Fallback>
    </mc:AlternateContent>
    <x:xf numFmtId="165" fontId="36" fillId="0" borderId="0" xfId="0" applyNumberFormat="1" applyFont="1" applyFill="1" applyBorder="1">
      <x:alignment horizontal="general" vertical="center"/>
    </x:xf>
    <x:xf numFmtId="0" fontId="32" fillId="0" borderId="0" xfId="0" applyNumberFormat="1" applyFont="1" applyBorder="1">
      <x:alignment horizontal="general" vertical="center"/>
    </x:xf>
    <x:xf numFmtId="0" fontId="37" fillId="0" borderId="0" xfId="0" applyNumberFormat="1" applyFont="1" applyFill="1" applyBorder="1" applyAlignment="1">
      <x:alignment horizontal="left" vertical="center"/>
    </x:xf>
    <x:xf numFmtId="0" fontId="32" fillId="0" borderId="0" xfId="0" applyNumberFormat="1" applyFont="1">
      <x:alignment horizontal="general" vertical="center"/>
    </x:xf>
    <x:xf numFmtId="0" fontId="32" fillId="0" borderId="0" xfId="0" applyNumberFormat="1" applyFont="1" applyProtection="1">
      <x:alignment horizontal="general" vertical="center"/>
    </x:xf>
    <x:xf numFmtId="0" fontId="32" fillId="0" borderId="0" xfId="0" applyNumberFormat="1" applyFont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32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0" xfId="0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0" xfId="0" applyNumberFormat="1" applyFont="1" applyAlignment="1" applyProtection="1">
          <x:alignment horizontal="center" vertical="center"/>
        </x:xf>
      </mc:Fallback>
    </mc:AlternateContent>
    <x:xf numFmtId="0" fontId="38" fillId="0" borderId="0" xfId="0" applyNumberFormat="1" applyFont="1" applyAlignment="1">
      <x:alignment horizontal="left" vertical="center"/>
    </x:xf>
    <x:xf numFmtId="165" fontId="0" fillId="0" borderId="0" xfId="0" applyNumberFormat="1">
      <x:alignment horizontal="general" vertical="center"/>
    </x:xf>
    <x:xf numFmtId="0" fontId="32" fillId="0" borderId="0" xfId="0" applyNumberFormat="1" applyFont="1" applyAlignment="1" applyProtection="1">
      <x:alignment horizontal="left" vertical="center"/>
    </x:xf>
    <x:xf numFmtId="0" fontId="32" fillId="0" borderId="0" xfId="0" applyNumberFormat="1" applyFont="1" applyFill="1" applyProtection="1">
      <x:alignment horizontal="general" vertical="center"/>
    </x:xf>
    <x:xf numFmtId="0" fontId="32" fillId="0" borderId="0" xfId="0" applyNumberFormat="1" applyFont="1" applyFill="1">
      <x:alignment horizontal="general" vertical="center"/>
    </x:xf>
    <x:xf numFmtId="0" fontId="39" fillId="0" borderId="0" xfId="0" applyNumberFormat="1" applyFont="1" applyProtection="1">
      <x:alignment horizontal="general" vertical="center"/>
    </x:xf>
    <x:xf numFmtId="0" fontId="40" fillId="0" borderId="0" xfId="0" applyNumberFormat="1" applyFont="1" applyAlignment="1" applyProtection="1">
      <x:alignment horizontal="general" vertical="center" wrapText="1"/>
    </x:xf>
    <x:xf numFmtId="0" fontId="39" fillId="0" borderId="0" xfId="0" applyNumberFormat="1" applyFont="1" applyAlignment="1" applyProtection="1">
      <x:alignment horizontal="general" vertical="center" wrapText="1"/>
    </x:xf>
    <x:xf numFmtId="0" fontId="39" fillId="0" borderId="0" xfId="0" applyNumberFormat="1" applyFont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39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0" xfId="0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0" borderId="0" xfId="0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0" xfId="0" applyNumberFormat="1" applyFont="1" applyAlignment="1" applyProtection="1">
          <x:alignment horizontal="center" vertical="center"/>
        </x:xf>
      </mc:Fallback>
    </mc:AlternateContent>
    <x:xf numFmtId="0" fontId="41" fillId="0" borderId="0" xfId="0" applyNumberFormat="1" applyFont="1" applyProtection="1">
      <x:alignment horizontal="general" vertical="center"/>
    </x:xf>
    <x:xf numFmtId="0" fontId="41" fillId="0" borderId="0" xfId="0" applyNumberFormat="1" applyFont="1" applyAlignment="1" applyProtection="1">
      <x:alignment horizontal="left" vertical="center"/>
    </x:xf>
    <x:xf numFmtId="0" fontId="42" fillId="0" borderId="0" xfId="0" applyNumberFormat="1" applyFont="1" applyProtection="1">
      <x:alignment horizontal="general" vertical="center"/>
    </x:xf>
    <x:xf numFmtId="0" fontId="41" fillId="0" borderId="0" xfId="0" applyNumberFormat="1" applyFont="1" applyAlignment="1" applyProtection="1">
      <x:alignment horizontal="general" vertical="center" wrapText="1"/>
    </x:xf>
    <x:xf numFmtId="0" fontId="41" fillId="0" borderId="0" xfId="0" applyNumberFormat="1" applyFont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41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0" xfId="0" applyNumberFormat="1" applyFont="1" applyAlignment="1" applyProtection="1">
          <x:alignment horizontal="center" vertical="center"/>
        </x:xf>
      </mc:Fallback>
    </mc:AlternateContent>
    <x:xf numFmtId="0" fontId="41" fillId="0" borderId="1" xfId="0" applyNumberFormat="1" applyFont="1" applyBorder="1" applyProtection="1">
      <x:alignment horizontal="general" vertical="center"/>
    </x:xf>
    <x:xf numFmtId="0" fontId="41" fillId="0" borderId="0" xfId="0" applyNumberFormat="1" applyFont="1" applyProtection="1">
      <x:alignment horizontal="general" vertical="center"/>
    </x:xf>
    <x:xf numFmtId="0" fontId="41" fillId="0" borderId="1" xfId="0" applyNumberFormat="1" applyFont="1" applyBorder="1">
      <x:alignment horizontal="general" vertical="center"/>
    </x:xf>
    <x:xf numFmtId="0" fontId="41" fillId="0" borderId="0" xfId="0" applyNumberFormat="1" applyFont="1">
      <x:alignment horizontal="general" vertical="center"/>
    </x:xf>
    <x:xf numFmtId="0" fontId="41" fillId="0" borderId="0" xfId="0" applyNumberFormat="1" applyFont="1" applyBorder="1">
      <x:alignment horizontal="general" vertical="center"/>
    </x:xf>
    <x:xf numFmtId="0" fontId="41" fillId="0" borderId="0" xfId="0" applyNumberFormat="1" applyFont="1">
      <x:alignment horizontal="general" vertical="center"/>
    </x:xf>
    <x:xf numFmtId="0" fontId="32" fillId="0" borderId="0" xfId="0" applyNumberFormat="1" applyFont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32" fillId="0" borderId="0" xfId="0" applyNumberFormat="1" applyFont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0" xfId="0" applyNumberFormat="1" applyFont="1" applyAlignment="1" applyProtection="1">
          <x:alignment horizontal="right" vertical="center" shrinkToFit="1"/>
        </x:xf>
      </mc:Fallback>
    </mc:AlternateContent>
    <x:xf numFmtId="0" fontId="41" fillId="0" borderId="0" xfId="0" applyNumberFormat="1" applyFont="1" applyAlignment="1" applyProtection="1">
      <x:alignment horizontal="general" vertical="center" shrinkToFit="1"/>
    </x:xf>
    <x:xf numFmtId="0" fontId="43" fillId="0" borderId="0" xfId="0" applyNumberFormat="1" applyFont="1" applyAlignment="1" applyProtection="1">
      <x:alignment horizontal="general" vertical="center" shrinkToFit="1"/>
    </x:xf>
    <x:xf numFmtId="0" fontId="41" fillId="0" borderId="0" xfId="0" applyNumberFormat="1" applyFont="1" applyFill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1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0" xfId="0" applyNumberFormat="1" applyFont="1" applyAlignment="1" applyProtection="1">
          <x:alignment horizontal="center" vertical="center"/>
        </x:xf>
      </mc:Fallback>
    </mc:AlternateContent>
    <x:xf numFmtId="0" fontId="41" fillId="0" borderId="0" xfId="0" applyNumberFormat="1" applyFont="1" applyAlignment="1" applyProtection="1">
      <x:alignment horizontal="left" vertical="center"/>
    </x:xf>
    <x:xf numFmtId="0" fontId="41" fillId="0" borderId="0" xfId="0" applyNumberFormat="1" applyFont="1" applyAlignment="1" applyProtection="1">
      <x:alignment horizontal="general" vertical="center" wrapText="1"/>
    </x:xf>
    <x:xf numFmtId="0" fontId="41" fillId="0" borderId="0" xfId="0" applyNumberFormat="1" applyFont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41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0" xfId="0" applyNumberFormat="1" applyFont="1" applyAlignment="1" applyProtection="1">
          <x:alignment horizontal="center" vertical="center"/>
        </x:xf>
      </mc:Fallback>
    </mc:AlternateContent>
    <x:xf numFmtId="0" fontId="41" fillId="0" borderId="0" xfId="0" applyNumberFormat="1" applyFont="1" applyAlignment="1" applyProtection="1">
      <x:alignment horizontal="general" vertical="center" shrinkToFit="1"/>
    </x:xf>
    <x:xf numFmtId="0" fontId="39" fillId="0" borderId="0" xfId="0" applyNumberFormat="1" applyFont="1" applyAlignment="1" applyProtection="1">
      <x:alignment horizontal="general" vertical="center" wrapText="1"/>
    </x:xf>
    <x:xf numFmtId="0" fontId="44" fillId="0" borderId="0" xfId="0" applyNumberFormat="1" applyFont="1">
      <x:alignment horizontal="general" vertical="center"/>
    </x:xf>
    <x:xf numFmtId="0" fontId="45" fillId="0" borderId="0" xfId="0" applyNumberFormat="1" applyFont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41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3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3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0" borderId="0" xfId="0" applyNumberFormat="1" applyFont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0" xfId="0" applyNumberFormat="1" applyFont="1" applyBorder="1" applyAlignment="1" applyProtection="1">
          <x:alignment horizontal="center" vertical="center" wrapText="1"/>
        </x:xf>
      </mc:Fallback>
    </mc:AlternateContent>
    <x:xf numFmtId="0" fontId="41" fillId="0" borderId="0" xfId="0" applyNumberFormat="1" applyFont="1" applyFill="1" applyProtection="1">
      <x:alignment horizontal="general" vertical="center"/>
    </x:xf>
    <x:xf numFmtId="0" fontId="41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1" fillId="0" borderId="0" xfId="0" applyNumberFormat="1" applyFont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0" xfId="0" applyNumberFormat="1" applyFont="1" applyAlignment="1" applyProtection="1">
          <x:alignment horizontal="right" vertical="center"/>
        </x:xf>
      </mc:Fallback>
    </mc:AlternateContent>
    <x:xf numFmtId="0" fontId="47" fillId="0" borderId="0" xfId="0" applyNumberFormat="1" applyFont="1">
      <x:alignment horizontal="general" vertical="center"/>
    </x:xf>
    <x:xf numFmtId="0" fontId="48" fillId="0" borderId="0" xfId="0" applyNumberFormat="1" applyFont="1">
      <x:alignment horizontal="general" vertical="center"/>
    </x:xf>
    <x:xf numFmtId="0" fontId="48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41" fillId="4" borderId="3" xfId="0" applyNumberFormat="1" applyFont="1" applyFill="1" applyBorder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1" fillId="4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42" fillId="4" borderId="3" xfId="0" applyNumberFormat="1" applyFont="1" applyFill="1" applyBorder="1" applyAlignment="1" applyProtection="1">
      <x:alignment horizontal="left" vertical="center" wrapText="1"/>
    </x:xf>
    <x:xf numFmtId="0" fontId="41" fillId="4" borderId="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1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41" fillId="4" borderId="3" xfId="0" applyNumberFormat="1" applyFont="1" applyFill="1" applyBorder="1" applyAlignment="1" applyProtection="1">
      <x:alignment horizontal="general" vertical="center" wrapText="1"/>
    </x:xf>
    <x:xf numFmtId="0" fontId="41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1" fillId="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41" fillId="4" borderId="4" xfId="0" applyNumberFormat="1" applyFont="1" applyFill="1" applyBorder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1" fillId="4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4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41" fillId="0" borderId="0" xfId="0" applyNumberFormat="1" applyFont="1" applyFill="1" applyBorder="1">
      <x:alignment horizontal="general" vertical="center"/>
    </x:xf>
    <x:xf numFmtId="0" fontId="41" fillId="0" borderId="0" xfId="0" applyNumberFormat="1" applyFont="1" applyFill="1">
      <x:alignment horizontal="general" vertical="center"/>
    </x:xf>
    <x:xf numFmtId="0" fontId="32" fillId="0" borderId="0" xfId="0" applyNumberFormat="1" applyFont="1" applyFill="1">
      <x:alignment horizontal="general" vertical="center"/>
    </x:xf>
    <x:xf numFmtId="41" fontId="32" fillId="0" borderId="0" xfId="1" applyNumberFormat="1" applyFont="1">
      <x:alignment horizontal="general" vertical="center"/>
    </x:xf>
    <x:xf numFmtId="0" fontId="30" fillId="0" borderId="5" xfId="4" applyNumberFormat="1" applyFont="1" applyFill="1" applyBorder="1" applyAlignment="1">
      <x:alignment horizontal="general" vertical="center"/>
    </x:xf>
    <x:xf numFmtId="0" fontId="30" fillId="0" borderId="5" xfId="4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50" fillId="5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5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5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5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6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6" borderId="3" xfId="0" applyNumberFormat="1" applyFont="1" applyFill="1" applyBorder="1" applyAlignment="1">
          <x:alignment horizontal="center" vertical="center"/>
        </x:xf>
      </mc:Fallback>
    </mc:AlternateContent>
    <x:xf numFmtId="165" fontId="50" fillId="6" borderId="3" xfId="0" applyNumberFormat="1" applyFont="1" applyFill="1" applyBorder="1">
      <x:alignment horizontal="general" vertical="center"/>
    </x:xf>
    <x:xf numFmtId="165" fontId="50" fillId="6" borderId="6" xfId="0" applyNumberFormat="1" applyFont="1" applyFill="1" applyBorder="1">
      <x:alignment horizontal="general" vertical="center"/>
    </x:xf>
    <x:xf numFmtId="165" fontId="50" fillId="6" borderId="8" xfId="0" applyNumberFormat="1" applyFont="1" applyFill="1" applyBorder="1">
      <x:alignment horizontal="general" vertical="center"/>
    </x:xf>
    <x:xf numFmtId="165" fontId="50" fillId="6" borderId="9" xfId="0" applyNumberFormat="1" applyFont="1" applyFill="1" applyBorder="1">
      <x:alignment horizontal="general" vertical="center"/>
    </x:xf>
    <x:xf numFmtId="165" fontId="50" fillId="7" borderId="4" xfId="0" applyNumberFormat="1" applyFont="1" applyFill="1" applyBorder="1">
      <x:alignment horizontal="general" vertical="center"/>
    </x:xf>
    <x:xf numFmtId="165" fontId="50" fillId="7" borderId="10" xfId="0" applyNumberFormat="1" applyFont="1" applyFill="1" applyBorder="1">
      <x:alignment horizontal="general" vertical="center"/>
    </x:xf>
    <x:xf numFmtId="165" fontId="50" fillId="7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12" xfId="0" applyNumberFormat="1" applyFont="1" applyBorder="1" applyAlignment="1">
          <x:alignment horizontal="center" vertical="center"/>
        </x:xf>
      </mc:Fallback>
    </mc:AlternateContent>
    <x:xf numFmtId="165" fontId="50" fillId="7" borderId="12" xfId="0" applyNumberFormat="1" applyFont="1" applyFill="1" applyBorder="1">
      <x:alignment horizontal="general" vertical="center"/>
    </x:xf>
    <x:xf numFmtId="165" fontId="50" fillId="7" borderId="13" xfId="0" applyNumberFormat="1" applyFont="1" applyFill="1" applyBorder="1">
      <x:alignment horizontal="general" vertical="center"/>
    </x:xf>
    <x:xf numFmtId="165" fontId="50" fillId="7" borderId="14" xfId="0" applyNumberFormat="1" applyFont="1" applyFill="1" applyBorder="1">
      <x:alignment horizontal="general" vertical="center"/>
    </x:xf>
    <x:xf numFmtId="165" fontId="50" fillId="7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0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15" xfId="0" applyNumberFormat="1" applyFont="1" applyBorder="1" applyAlignment="1">
          <x:alignment horizontal="center" vertical="center"/>
        </x:xf>
      </mc:Fallback>
    </mc:AlternateContent>
    <x:xf numFmtId="165" fontId="50" fillId="7" borderId="15" xfId="0" applyNumberFormat="1" applyFont="1" applyFill="1" applyBorder="1">
      <x:alignment horizontal="general" vertical="center"/>
    </x:xf>
    <x:xf numFmtId="165" fontId="50" fillId="7" borderId="16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17" xfId="0" applyNumberFormat="1" applyFont="1" applyBorder="1" applyAlignment="1">
          <x:alignment horizontal="center" vertical="center"/>
        </x:xf>
      </mc:Fallback>
    </mc:AlternateContent>
    <x:xf numFmtId="165" fontId="50" fillId="7" borderId="17" xfId="0" applyNumberFormat="1" applyFont="1" applyFill="1" applyBorder="1">
      <x:alignment horizontal="general" vertical="center"/>
    </x:xf>
    <x:xf numFmtId="165" fontId="50" fillId="7" borderId="18" xfId="0" applyNumberFormat="1" applyFont="1" applyFill="1" applyBorder="1">
      <x:alignment horizontal="general" vertical="center"/>
    </x:xf>
    <x:xf numFmtId="0" fontId="51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50" fillId="5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5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5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5" borderId="9" xfId="0" applyNumberFormat="1" applyFont="1" applyFill="1" applyBorder="1" applyAlignment="1">
          <x:alignment horizontal="center" vertical="center"/>
        </x:xf>
      </mc:Fallback>
    </mc:AlternateContent>
    <x:xf numFmtId="165" fontId="32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2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3" xfId="0" applyNumberFormat="1" applyFont="1" applyBorder="1" applyAlignment="1">
          <x:alignment horizontal="center" vertical="center"/>
        </x:xf>
      </mc:Fallback>
    </mc:AlternateContent>
    <x:xf numFmtId="165" fontId="36" fillId="8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6" fillId="8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8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6" fillId="9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9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0" borderId="3" xfId="0" applyNumberFormat="1" applyFont="1" applyBorder="1" applyAlignment="1">
          <x:alignment horizontal="center" vertical="center"/>
        </x:xf>
      </mc:Fallback>
    </mc:AlternateContent>
    <x:xf numFmtId="0" fontId="32" fillId="8" borderId="3" xfId="0" applyNumberFormat="1" applyFont="1" applyFill="1" applyBorder="1">
      <x:alignment horizontal="general" vertical="center"/>
    </x:xf>
    <x:xf numFmtId="165" fontId="32" fillId="8" borderId="3" xfId="0" applyNumberFormat="1" applyFont="1" applyFill="1" applyBorder="1">
      <x:alignment horizontal="general" vertical="center"/>
    </x:xf>
    <x:xf numFmtId="165" fontId="36" fillId="7" borderId="16" xfId="0" applyNumberFormat="1" applyFont="1" applyFill="1" applyBorder="1">
      <x:alignment horizontal="general" vertical="center"/>
    </x:xf>
    <x:xf numFmtId="165" fontId="36" fillId="7" borderId="19" xfId="0" applyNumberFormat="1" applyFont="1" applyFill="1" applyBorder="1">
      <x:alignment horizontal="general" vertical="center"/>
    </x:xf>
    <x:xf numFmtId="165" fontId="36" fillId="7" borderId="18" xfId="0" applyNumberFormat="1" applyFont="1" applyFill="1" applyBorder="1">
      <x:alignment horizontal="general" vertical="center"/>
    </x:xf>
    <x:xf numFmtId="165" fontId="36" fillId="7" borderId="1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6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0" borderId="15" xfId="0" applyNumberFormat="1" applyFont="1" applyBorder="1" applyAlignment="1">
          <x:alignment horizontal="center" vertical="center"/>
        </x:xf>
      </mc:Fallback>
    </mc:AlternateContent>
    <x:xf numFmtId="165" fontId="36" fillId="7" borderId="11" xfId="0" applyNumberFormat="1" applyFont="1" applyFill="1" applyBorder="1">
      <x:alignment horizontal="general" vertical="center"/>
    </x:xf>
    <x:xf numFmtId="165" fontId="36" fillId="7" borderId="10" xfId="0" applyNumberFormat="1" applyFont="1" applyFill="1" applyBorder="1">
      <x:alignment horizontal="general" vertical="center"/>
    </x:xf>
    <x:xf numFmtId="165" fontId="36" fillId="7" borderId="20" xfId="0" applyNumberFormat="1" applyFont="1" applyFill="1" applyBorder="1">
      <x:alignment horizontal="general" vertical="center"/>
    </x:xf>
    <x:xf numFmtId="165" fontId="36" fillId="7" borderId="1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6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0" borderId="17" xfId="0" applyNumberFormat="1" applyFont="1" applyBorder="1" applyAlignment="1">
          <x:alignment horizontal="center" vertical="center"/>
        </x:xf>
      </mc:Fallback>
    </mc:AlternateContent>
    <x:xf numFmtId="165" fontId="36" fillId="6" borderId="9" xfId="0" applyNumberFormat="1" applyFont="1" applyFill="1" applyBorder="1">
      <x:alignment horizontal="general" vertical="center"/>
    </x:xf>
    <x:xf numFmtId="165" fontId="36" fillId="6" borderId="8" xfId="0" applyNumberFormat="1" applyFont="1" applyFill="1" applyBorder="1">
      <x:alignment horizontal="general" vertical="center"/>
    </x:xf>
    <x:xf numFmtId="165" fontId="36" fillId="6" borderId="6" xfId="0" applyNumberFormat="1" applyFont="1" applyFill="1" applyBorder="1">
      <x:alignment horizontal="general" vertical="center"/>
    </x:xf>
    <x:xf numFmtId="165" fontId="36" fillId="6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6" fillId="6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6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3" xfId="0" applyNumberFormat="1" applyFont="1" applyFill="1" applyBorder="1" applyAlignment="1">
          <x:alignment horizontal="center" vertical="center"/>
        </x:xf>
      </mc:Fallback>
    </mc:AlternateContent>
    <x:xf numFmtId="0" fontId="42" fillId="0" borderId="0" xfId="0" applyNumberFormat="1" applyFont="1" applyAlignment="1">
      <x:alignment horizontal="left" vertical="center"/>
    </x:xf>
    <x:xf numFmtId="165" fontId="36" fillId="7" borderId="1" xfId="0" applyNumberFormat="1" applyFont="1" applyFill="1" applyBorder="1">
      <x:alignment horizontal="general" vertical="center"/>
    </x:xf>
    <x:xf numFmtId="165" fontId="36" fillId="7" borderId="14" xfId="0" applyNumberFormat="1" applyFont="1" applyFill="1" applyBorder="1">
      <x:alignment horizontal="general" vertical="center"/>
    </x:xf>
    <x:xf numFmtId="165" fontId="36" fillId="7" borderId="13" xfId="0" applyNumberFormat="1" applyFont="1" applyFill="1" applyBorder="1">
      <x:alignment horizontal="general" vertical="center"/>
    </x:xf>
    <x:xf numFmtId="165" fontId="36" fillId="7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6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7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7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7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7" borderId="3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32" fillId="1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1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41" fillId="4" borderId="3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41" fillId="4" borderId="3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3" xfId="0" applyNumberFormat="1" applyFont="1" applyFill="1" applyBorder="1" applyAlignment="1" applyProtection="1">
          <x:alignment horizontal="center" vertical="center" wrapText="1" shrinkToFit="1"/>
        </x:xf>
      </mc:Fallback>
    </mc:AlternateContent>
    <x:xf numFmtId="0" fontId="41" fillId="0" borderId="1" xfId="0" applyNumberFormat="1" applyFont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52" fillId="7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7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52" fillId="0" borderId="0" xfId="0" applyNumberFormat="1" applyFont="1" applyFill="1" applyProtection="1">
      <x:alignment horizontal="general" vertical="center"/>
    </x:xf>
    <x:xf numFmtId="0" fontId="52" fillId="0" borderId="0" xfId="0" applyNumberFormat="1" applyFont="1">
      <x:alignment horizontal="general" vertical="center"/>
    </x:xf>
    <x:xf numFmtId="0" fontId="52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4" fillId="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4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53" fillId="4" borderId="3" xfId="0" applyNumberFormat="1" applyFont="1" applyFill="1" applyBorder="1" applyAlignment="1" applyProtection="1">
      <x:alignment horizontal="left" vertical="center"/>
    </x:xf>
    <x:xf numFmtId="0" fontId="54" fillId="4" borderId="3" xfId="0" applyNumberFormat="1" applyFont="1" applyFill="1" applyBorder="1" applyAlignment="1" applyProtection="1">
      <x:alignment horizontal="left" vertical="center" wrapText="1"/>
    </x:xf>
    <x:xf numFmtId="0" fontId="54" fillId="4" borderId="3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54" fillId="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4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54" fillId="4" borderId="3" xfId="0" applyNumberFormat="1" applyFont="1" applyFill="1" applyBorder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4" fillId="4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4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4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53" fillId="4" borderId="3" xfId="0" applyNumberFormat="1" applyFont="1" applyFill="1" applyBorder="1" applyAlignment="1" applyProtection="1">
      <x:alignment horizontal="left" vertical="center" wrapText="1"/>
    </x:xf>
    <x:xf numFmtId="0" fontId="54" fillId="4" borderId="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54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54" fillId="4" borderId="3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51" fillId="0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51" fillId="0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51" fillId="0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51" fillId="0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0" xfId="0" applyNumberFormat="1" applyFont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0" xfId="0" applyNumberFormat="1" applyFont="1" applyAlignment="1" applyProtection="1">
          <x:alignment horizontal="right" vertical="center"/>
        </x:xf>
      </mc:Fallback>
    </mc:AlternateContent>
    <x:xf numFmtId="0" fontId="3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4" fillId="4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4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54" fillId="4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5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5" fillId="0" borderId="0" xfId="0" applyNumberFormat="1" applyFont="1" applyAlignment="1" applyProtection="1">
          <x:alignment horizontal="center" vertical="center"/>
        </x:xf>
      </mc:Fallback>
    </mc:AlternateContent>
    <x:xf numFmtId="0" fontId="55" fillId="0" borderId="0" xfId="0" applyNumberFormat="1" applyFont="1" applyProtection="1">
      <x:alignment horizontal="general" vertical="center"/>
    </x:xf>
    <x:xf numFmtId="0" fontId="14" fillId="0" borderId="0" xfId="0" applyNumberFormat="1" applyFont="1" applyProtection="1">
      <x:alignment horizontal="general" vertical="center"/>
    </x:xf>
    <x:xf numFmtId="0" fontId="30" fillId="0" borderId="21" xfId="5" applyNumberFormat="1" applyFont="1" applyFill="1" applyBorder="1" applyAlignment="1">
      <x:alignment horizontal="left" vertical="center"/>
    </x:xf>
    <x:xf numFmtId="0" fontId="30" fillId="0" borderId="22" xfId="5" applyNumberFormat="1" applyFont="1" applyFill="1" applyBorder="1" applyAlignment="1">
      <x:alignment horizontal="left" vertical="center"/>
    </x:xf>
    <x:xf numFmtId="0" fontId="30" fillId="0" borderId="23" xfId="5" applyNumberFormat="1" applyFont="1" applyFill="1" applyBorder="1" applyAlignment="1">
      <x:alignment horizontal="left" vertical="center"/>
    </x:xf>
    <x:xf numFmtId="0" fontId="30" fillId="0" borderId="23" xfId="4" applyNumberFormat="1" applyFont="1" applyFill="1" applyBorder="1" applyAlignment="1">
      <x:alignment horizontal="left" vertical="center"/>
    </x:xf>
    <x:xf numFmtId="0" fontId="30" fillId="0" borderId="22" xfId="4" applyNumberFormat="1" applyFont="1" applyFill="1" applyBorder="1" applyAlignment="1">
      <x:alignment horizontal="left" vertical="center"/>
    </x:xf>
    <x:xf numFmtId="0" fontId="30" fillId="0" borderId="21" xfId="4" applyNumberFormat="1" applyFont="1" applyFill="1" applyBorder="1" applyAlignment="1">
      <x:alignment horizontal="left" vertical="center"/>
    </x:xf>
    <x:xf numFmtId="0" fontId="30" fillId="0" borderId="24" xfId="4" applyNumberFormat="1" applyFont="1" applyFill="1" applyBorder="1" applyAlignment="1">
      <x:alignment horizontal="general" vertical="center"/>
    </x:xf>
    <x:xf numFmtId="0" fontId="30" fillId="0" borderId="25" xfId="4" applyNumberFormat="1" applyFont="1" applyFill="1" applyBorder="1" applyAlignment="1">
      <x:alignment horizontal="general" vertical="center"/>
    </x:xf>
    <x:xf numFmtId="0" fontId="30" fillId="0" borderId="26" xfId="4" applyNumberFormat="1" applyFont="1" applyFill="1" applyBorder="1" applyAlignment="1">
      <x:alignment horizontal="left" vertical="center"/>
    </x:xf>
    <x:xf numFmtId="0" fontId="30" fillId="0" borderId="27" xfId="4" applyNumberFormat="1" applyFont="1" applyFill="1" applyBorder="1" applyAlignment="1">
      <x:alignment horizontal="general" vertical="center"/>
    </x:xf>
    <x:xf numFmtId="0" fontId="30" fillId="0" borderId="28" xfId="4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2" fillId="11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11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56" fillId="12" borderId="29" xfId="0" applyNumberFormat="1" applyFont="1" applyFill="1" applyBorder="1" applyAlignment="1">
      <x:alignment horizontal="left" vertical="center" wrapText="1"/>
    </x:xf>
    <x:xf numFmtId="0" fontId="57" fillId="13" borderId="29" xfId="0" applyNumberFormat="1" applyFont="1" applyFill="1" applyBorder="1" applyAlignment="1">
      <x:alignment horizontal="left" vertical="center" wrapText="1"/>
    </x:xf>
    <x:xf numFmtId="0" fontId="57" fillId="14" borderId="29" xfId="0" applyNumberFormat="1" applyFont="1" applyFill="1" applyBorder="1" applyAlignment="1">
      <x:alignment horizontal="left" vertical="center" wrapText="1"/>
    </x:xf>
    <x:xf numFmtId="0" fontId="57" fillId="0" borderId="29" xfId="0" applyNumberFormat="1" applyFont="1" applyBorder="1" applyAlignment="1">
      <x:alignment horizontal="left" vertical="center" wrapText="1"/>
    </x:xf>
    <x:xf numFmtId="0" fontId="58" fillId="0" borderId="29" xfId="0" applyNumberFormat="1" applyFont="1" applyBorder="1" applyAlignment="1">
      <x:alignment horizontal="left" vertical="center" wrapText="1"/>
    </x:xf>
    <x:xf numFmtId="0" fontId="57" fillId="0" borderId="3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1" fillId="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4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15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15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15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15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52" fillId="15" borderId="3" xfId="0" applyNumberFormat="1" applyFont="1" applyFill="1" applyBorder="1" applyAlignment="1">
      <x:alignment horizontal="left" vertical="center" wrapText="1"/>
    </x:xf>
    <x:xf numFmtId="0" fontId="41" fillId="15" borderId="3" xfId="0" applyNumberFormat="1" applyFont="1" applyFill="1" applyBorder="1" applyAlignment="1">
      <x:alignment horizontal="general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52" fillId="15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15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52" fillId="15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52" fillId="15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15" borderId="3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41" fillId="15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1" fillId="15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15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41" fillId="11" borderId="3" xfId="0" applyNumberFormat="1" applyFont="1" applyFill="1" applyBorder="1" applyAlignment="1">
      <x:alignment horizontal="left" vertical="center" wrapText="1"/>
    </x:xf>
    <x:xf numFmtId="0" fontId="41" fillId="11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52" fillId="16" borderId="3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52" fillId="16" borderId="3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52" fillId="16" borderId="3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52" fillId="16" borderId="3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15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15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52" fillId="0" borderId="1" xfId="0" applyNumberFormat="1" applyFont="1" applyBorder="1">
      <x:alignment horizontal="general" vertical="center"/>
    </x:xf>
    <x:xf numFmtId="0" fontId="52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52" fillId="16" borderId="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52" fillId="16" borderId="3" xfId="1" applyNumberFormat="1" applyFont="1" applyFill="1" applyBorder="1" applyAlignment="1">
          <x:alignment horizontal="right" vertical="center"/>
        </x:xf>
      </mc:Fallback>
    </mc:AlternateContent>
    <x:xf numFmtId="0" fontId="52" fillId="15" borderId="3" xfId="0" applyNumberFormat="1" applyFont="1" applyFill="1" applyBorder="1" applyAlignment="1">
      <x:alignment horizontal="general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52" fillId="15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15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11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11" borderId="3" xfId="0" applyNumberFormat="1" applyFont="1" applyFill="1" applyBorder="1" applyAlignment="1">
          <x:alignment horizontal="center" vertical="center"/>
        </x:xf>
      </mc:Fallback>
    </mc:AlternateContent>
    <x:xf numFmtId="0" fontId="52" fillId="15" borderId="3" xfId="0" applyNumberFormat="1" applyFont="1" applyFill="1" applyBorder="1" applyAlignment="1">
      <x:alignment horizontal="left" vertical="center" wrapText="1"/>
    </x:xf>
    <x:xf numFmtId="0" fontId="52" fillId="11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36" fillId="9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9" borderId="0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0" xfId="1" applyNumberFormat="1" applyFont="1">
      <x:alignment horizontal="general" vertical="center"/>
    </x:xf>
    <x:xf numFmtId="0" fontId="52" fillId="7" borderId="3" xfId="0" applyNumberFormat="1" applyFont="1" applyFill="1" applyBorder="1" applyAlignment="1">
      <x:alignment horizontal="left" vertical="center" wrapText="1"/>
    </x:xf>
    <x:xf numFmtId="0" fontId="36" fillId="17" borderId="31" xfId="0" applyNumberFormat="1" applyFont="1" applyFill="1" applyBorder="1" applyAlignment="1">
      <x:alignment horizontal="general" vertical="center"/>
    </x:xf>
    <x:xf numFmtId="0" fontId="36" fillId="17" borderId="32" xfId="0" applyNumberFormat="1" applyFont="1" applyFill="1" applyBorder="1" applyAlignment="1">
      <x:alignment horizontal="general" vertical="center"/>
    </x:xf>
    <x:xf numFmtId="0" fontId="0" fillId="0" borderId="33" xfId="0" applyNumberFormat="1" applyBorder="1" applyAlignment="1">
      <x:alignment horizontal="general" vertical="center"/>
    </x:xf>
    <x:xf numFmtId="0" fontId="0" fillId="0" borderId="34" xfId="0" applyNumberFormat="1" applyBorder="1" applyAlignme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32" fillId="17" borderId="35" xfId="0" applyNumberFormat="1" applyFont="1" applyFill="1" applyBorder="1">
      <x:alignment horizontal="general" vertical="center"/>
    </x:xf>
    <x:xf numFmtId="0" fontId="32" fillId="17" borderId="36" xfId="0" applyNumberFormat="1" applyFont="1" applyFill="1" applyBorder="1">
      <x:alignment horizontal="general" vertical="center"/>
    </x:xf>
    <x:xf numFmtId="0" fontId="32" fillId="17" borderId="37" xfId="0" applyNumberFormat="1" applyFont="1" applyFill="1" applyBorder="1">
      <x:alignment horizontal="general" vertical="center"/>
    </x:xf>
    <x:xf numFmtId="0" fontId="30" fillId="0" borderId="38" xfId="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21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1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27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27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24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24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3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3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5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5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25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25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2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2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28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28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26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26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0" borderId="23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0" borderId="23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10" borderId="5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10" borderId="5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10" borderId="25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10" borderId="25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9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9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40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0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41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1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42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42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43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3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44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4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3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3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45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45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46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46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37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37" xfId="7" applyNumberFormat="1" applyFont="1" applyFill="1" applyBorder="1" applyAlignment="1">
          <x:alignment horizontal="justify" vertical="center" wrapText="1"/>
        </x:xf>
      </mc:Fallback>
    </mc:AlternateContent>
    <x:xf numFmtId="0" fontId="30" fillId="5" borderId="21" xfId="4" applyNumberFormat="1" applyFont="1" applyFill="1" applyBorder="1" applyAlignment="1">
      <x:alignment horizontal="general" vertical="center"/>
    </x:xf>
    <x:xf numFmtId="0" fontId="30" fillId="5" borderId="23" xfId="4" applyNumberFormat="1" applyFont="1" applyFill="1" applyBorder="1" applyAlignment="1">
      <x:alignment horizontal="general" vertical="center"/>
    </x:xf>
    <x:xf numFmtId="0" fontId="30" fillId="5" borderId="22" xfId="4" applyNumberFormat="1" applyFont="1" applyFill="1" applyBorder="1" applyAlignment="1">
      <x:alignment horizontal="general" vertical="center"/>
    </x:xf>
    <x:xf numFmtId="0" fontId="30" fillId="5" borderId="27" xfId="4" applyNumberFormat="1" applyFont="1" applyFill="1" applyBorder="1" applyAlignment="1">
      <x:alignment horizontal="general" vertical="center"/>
    </x:xf>
    <x:xf numFmtId="0" fontId="30" fillId="5" borderId="24" xfId="4" applyNumberFormat="1" applyFont="1" applyFill="1" applyBorder="1" applyAlignment="1">
      <x:alignment horizontal="general" vertical="center"/>
    </x:xf>
    <x:xf numFmtId="0" fontId="30" fillId="5" borderId="5" xfId="4" applyNumberFormat="1" applyFont="1" applyFill="1" applyBorder="1" applyAlignment="1">
      <x:alignment horizontal="general" vertical="center"/>
    </x:xf>
    <x:xf numFmtId="0" fontId="30" fillId="5" borderId="25" xfId="4" applyNumberFormat="1" applyFont="1" applyFill="1" applyBorder="1" applyAlignment="1">
      <x:alignment horizontal="general" vertical="center"/>
    </x:xf>
    <x:xf numFmtId="0" fontId="30" fillId="5" borderId="28" xfId="4" applyNumberFormat="1" applyFont="1" applyFill="1" applyBorder="1" applyAlignment="1">
      <x:alignment horizontal="general" vertical="center"/>
    </x:xf>
    <x:xf numFmtId="0" fontId="30" fillId="5" borderId="26" xfId="4" applyNumberFormat="1" applyFont="1" applyFill="1" applyBorder="1" applyAlignment="1">
      <x:alignment horizontal="general" vertical="center"/>
    </x:xf>
    <x:xf numFmtId="0" fontId="32" fillId="17" borderId="42" xfId="0" applyNumberFormat="1" applyFont="1" applyFill="1" applyBorder="1">
      <x:alignment horizontal="general" vertical="center"/>
    </x:xf>
    <x:xf numFmtId="0" fontId="32" fillId="17" borderId="43" xfId="0" applyNumberFormat="1" applyFont="1" applyFill="1" applyBorder="1">
      <x:alignment horizontal="general" vertical="center"/>
    </x:xf>
    <x:xf numFmtId="0" fontId="32" fillId="17" borderId="44" xfId="0" applyNumberFormat="1" applyFont="1" applyFill="1" applyBorder="1">
      <x:alignment horizontal="general" vertical="center"/>
    </x:xf>
    <x:xf numFmtId="0" fontId="30" fillId="0" borderId="25" xfId="5" applyNumberFormat="1" applyFont="1" applyFill="1" applyBorder="1" applyAlignment="1">
      <x:alignment horizontal="left" vertical="center"/>
    </x:xf>
    <x:xf numFmtId="0" fontId="30" fillId="0" borderId="23" xfId="4" applyNumberFormat="1" applyFont="1" applyFill="1" applyBorder="1" applyAlignment="1">
      <x:alignment horizontal="general" vertical="center"/>
    </x:xf>
    <x:xf numFmtId="0" fontId="30" fillId="0" borderId="25" xfId="4" applyNumberFormat="1" applyFont="1" applyFill="1" applyBorder="1" applyAlignment="1">
      <x:alignment horizontal="left" vertical="center"/>
    </x:xf>
    <x:xf numFmtId="0" fontId="30" fillId="0" borderId="23" xfId="4" applyNumberFormat="1" applyFont="1" applyFill="1" applyBorder="1" applyAlignment="1">
      <x:alignment horizontal="general" vertical="center"/>
    </x:xf>
    <x:xf numFmtId="0" fontId="30" fillId="0" borderId="39" xfId="5" applyNumberFormat="1" applyFont="1" applyFill="1" applyBorder="1" applyAlignment="1">
      <x:alignment horizontal="left" vertical="center"/>
    </x:xf>
    <x:xf numFmtId="0" fontId="30" fillId="0" borderId="41" xfId="5" applyNumberFormat="1" applyFont="1" applyFill="1" applyBorder="1" applyAlignment="1">
      <x:alignment horizontal="left" vertical="center"/>
    </x:xf>
    <x:xf numFmtId="0" fontId="30" fillId="0" borderId="47" xfId="5" applyNumberFormat="1" applyFont="1" applyFill="1" applyBorder="1" applyAlignment="1">
      <x:alignment horizontal="left" vertical="center"/>
    </x:xf>
    <x:xf numFmtId="0" fontId="30" fillId="0" borderId="24" xfId="5" applyNumberFormat="1" applyFont="1" applyFill="1" applyBorder="1" applyAlignment="1">
      <x:alignment horizontal="left" vertical="center"/>
    </x:xf>
    <x:xf numFmtId="0" fontId="30" fillId="0" borderId="26" xfId="5" applyNumberFormat="1" applyFont="1" applyFill="1" applyBorder="1" applyAlignment="1">
      <x:alignment horizontal="left" vertical="center"/>
    </x:xf>
    <x:xf numFmtId="0" fontId="30" fillId="0" borderId="42" xfId="5" applyNumberFormat="1" applyFont="1" applyFill="1" applyBorder="1" applyAlignment="1">
      <x:alignment horizontal="left" vertical="center"/>
    </x:xf>
    <x:xf numFmtId="0" fontId="30" fillId="0" borderId="44" xfId="5" applyNumberFormat="1" applyFont="1" applyFill="1" applyBorder="1" applyAlignment="1">
      <x:alignment horizontal="left" vertical="center"/>
    </x:xf>
    <x:xf numFmtId="0" fontId="30" fillId="0" borderId="45" xfId="5" applyNumberFormat="1" applyFont="1" applyFill="1" applyBorder="1" applyAlignment="1">
      <x:alignment horizontal="left" vertical="center"/>
    </x:xf>
    <x:xf numFmtId="0" fontId="30" fillId="0" borderId="37" xfId="5" applyNumberFormat="1" applyFont="1" applyFill="1" applyBorder="1" applyAlignment="1">
      <x:alignment horizontal="left" vertical="center"/>
    </x:xf>
    <x:xf numFmtId="0" fontId="30" fillId="0" borderId="22" xfId="4" applyNumberFormat="1" applyFont="1" applyFill="1" applyBorder="1" applyAlignment="1">
      <x:alignment horizontal="general" vertical="center"/>
    </x:xf>
    <x:xf numFmtId="0" fontId="30" fillId="0" borderId="21" xfId="4" applyNumberFormat="1" applyFont="1" applyFill="1" applyBorder="1" applyAlignment="1">
      <x:alignment horizontal="general" vertical="center"/>
    </x:xf>
    <x:xf numFmtId="0" fontId="30" fillId="0" borderId="39" xfId="4" applyNumberFormat="1" applyFont="1" applyFill="1" applyBorder="1" applyAlignment="1">
      <x:alignment horizontal="left" vertical="center"/>
    </x:xf>
    <x:xf numFmtId="0" fontId="30" fillId="0" borderId="40" xfId="4" applyNumberFormat="1" applyFont="1" applyFill="1" applyBorder="1" applyAlignment="1">
      <x:alignment horizontal="general" vertical="center"/>
    </x:xf>
    <x:xf numFmtId="0" fontId="30" fillId="0" borderId="41" xfId="4" applyNumberFormat="1" applyFont="1" applyFill="1" applyBorder="1" applyAlignment="1">
      <x:alignment horizontal="left" vertical="center"/>
    </x:xf>
    <x:xf numFmtId="0" fontId="30" fillId="0" borderId="24" xfId="4" applyNumberFormat="1" applyFont="1" applyFill="1" applyBorder="1" applyAlignment="1">
      <x:alignment horizontal="left" vertical="center"/>
    </x:xf>
    <x:xf numFmtId="0" fontId="30" fillId="0" borderId="22" xfId="4" applyNumberFormat="1" applyFont="1" applyFill="1" applyBorder="1" applyAlignment="1">
      <x:alignment horizontal="general" vertical="center"/>
    </x:xf>
    <x:xf numFmtId="0" fontId="30" fillId="0" borderId="26" xfId="4" applyNumberFormat="1" applyFont="1" applyFill="1" applyBorder="1" applyAlignment="1">
      <x:alignment horizontal="general" vertical="center"/>
    </x:xf>
    <x:xf numFmtId="0" fontId="30" fillId="0" borderId="25" xfId="4" applyNumberFormat="1" applyFont="1" applyFill="1" applyBorder="1" applyAlignment="1">
      <x:alignment horizontal="general" vertical="center"/>
    </x:xf>
    <x:xf numFmtId="0" fontId="30" fillId="0" borderId="28" xfId="4" applyNumberFormat="1" applyFont="1" applyFill="1" applyBorder="1" applyAlignment="1">
      <x:alignment horizontal="general" vertical="center"/>
    </x:xf>
    <x:xf numFmtId="0" fontId="30" fillId="0" borderId="5" xfId="4" applyNumberFormat="1" applyFont="1" applyFill="1" applyBorder="1" applyAlignment="1">
      <x:alignment horizontal="general" vertical="center"/>
    </x:xf>
    <x:xf numFmtId="0" fontId="30" fillId="0" borderId="39" xfId="4" applyNumberFormat="1" applyFont="1" applyFill="1" applyBorder="1" applyAlignment="1">
      <x:alignment horizontal="general" vertical="center"/>
    </x:xf>
    <x:xf numFmtId="0" fontId="30" fillId="0" borderId="40" xfId="4" applyNumberFormat="1" applyFont="1" applyFill="1" applyBorder="1" applyAlignment="1">
      <x:alignment horizontal="general" vertical="center"/>
    </x:xf>
    <x:xf numFmtId="0" fontId="30" fillId="0" borderId="41" xfId="4" applyNumberFormat="1" applyFont="1" applyFill="1" applyBorder="1" applyAlignment="1">
      <x:alignment horizontal="general" vertical="center"/>
    </x:xf>
    <x:xf numFmtId="0" fontId="30" fillId="0" borderId="21" xfId="4" applyNumberFormat="1" applyFont="1" applyFill="1" applyBorder="1" applyAlignment="1">
      <x:alignment horizontal="general" vertical="center"/>
    </x:xf>
    <x:xf numFmtId="0" fontId="30" fillId="0" borderId="27" xfId="4" applyNumberFormat="1" applyFont="1" applyFill="1" applyBorder="1" applyAlignment="1">
      <x:alignment horizontal="general" vertical="center"/>
    </x:xf>
    <x:xf numFmtId="0" fontId="30" fillId="0" borderId="24" xfId="4" applyNumberFormat="1" applyFont="1" applyFill="1" applyBorder="1" applyAlignment="1">
      <x:alignment horizontal="general" vertical="center"/>
    </x:xf>
    <x:xf numFmtId="0" fontId="30" fillId="0" borderId="48" xfId="5" applyNumberFormat="1" applyFont="1" applyFill="1" applyBorder="1">
      <x:alignment horizontal="general" vertical="center"/>
    </x:xf>
    <x:xf numFmtId="0" fontId="30" fillId="0" borderId="40" xfId="5" applyNumberFormat="1" applyFont="1" applyFill="1" applyBorder="1">
      <x:alignment horizontal="general" vertical="center"/>
    </x:xf>
    <x:xf numFmtId="0" fontId="30" fillId="0" borderId="27" xfId="5" applyNumberFormat="1" applyFont="1" applyFill="1" applyBorder="1">
      <x:alignment horizontal="general" vertical="center"/>
    </x:xf>
    <x:xf numFmtId="0" fontId="30" fillId="0" borderId="28" xfId="5" applyNumberFormat="1" applyFont="1" applyFill="1" applyBorder="1">
      <x:alignment horizontal="general" vertical="center"/>
    </x:xf>
    <x:xf numFmtId="0" fontId="30" fillId="0" borderId="46" xfId="5" applyNumberFormat="1" applyFont="1" applyFill="1" applyBorder="1">
      <x:alignment horizontal="general" vertical="center"/>
    </x:xf>
    <x:xf numFmtId="0" fontId="30" fillId="0" borderId="5" xfId="5" applyNumberFormat="1" applyFont="1" applyFill="1" applyBorder="1">
      <x:alignment horizontal="general" vertical="center"/>
    </x:xf>
    <x:xf numFmtId="0" fontId="30" fillId="0" borderId="43" xfId="5" applyNumberFormat="1" applyFont="1" applyFill="1" applyBorder="1">
      <x:alignment horizontal="general" vertical="center"/>
    </x:xf>
    <x:xf numFmtId="0" fontId="30" fillId="0" borderId="22" xfId="0" applyNumberFormat="1" applyFont="1" applyFill="1" applyBorder="1">
      <x:alignment horizontal="general" vertical="center"/>
    </x:xf>
    <x:xf numFmtId="0" fontId="30" fillId="0" borderId="26" xfId="0" applyNumberFormat="1" applyFont="1" applyFill="1" applyBorder="1">
      <x:alignment horizontal="general" vertical="center"/>
    </x:xf>
    <x:xf numFmtId="0" fontId="30" fillId="0" borderId="21" xfId="0" applyNumberFormat="1" applyFont="1" applyFill="1" applyBorder="1">
      <x:alignment horizontal="general" vertical="center"/>
    </x:xf>
    <x:xf numFmtId="0" fontId="30" fillId="0" borderId="24" xfId="0" applyNumberFormat="1" applyFont="1" applyFill="1" applyBorder="1">
      <x:alignment horizontal="general" vertical="center"/>
    </x:xf>
    <x:xf numFmtId="0" fontId="30" fillId="0" borderId="27" xfId="0" applyNumberFormat="1" applyFont="1" applyFill="1" applyBorder="1">
      <x:alignment horizontal="general" vertical="center"/>
    </x:xf>
    <x:xf numFmtId="0" fontId="30" fillId="0" borderId="28" xfId="0" applyNumberFormat="1" applyFont="1" applyFill="1" applyBorder="1">
      <x:alignment horizontal="general" vertical="center"/>
    </x:xf>
    <x:xf numFmtId="0" fontId="30" fillId="18" borderId="22" xfId="4" applyNumberFormat="1" applyFont="1" applyFill="1" applyBorder="1" applyAlignment="1">
      <x:alignment horizontal="left" vertical="center"/>
    </x:xf>
    <x:xf numFmtId="0" fontId="52" fillId="16" borderId="3" xfId="0" applyNumberFormat="1" applyFont="1" applyFill="1" applyBorder="1" applyAlignment="1">
      <x:alignment horizontal="left" vertical="center" wrapText="1" shrinkToFit="1"/>
    </x:xf>
    <x:xf numFmtId="0" fontId="59" fillId="0" borderId="1" xfId="0" applyNumberFormat="1" applyFont="1" applyBorder="1" applyProtection="1">
      <x:alignment horizontal="general" vertical="center"/>
    </x:xf>
    <x:xf numFmtId="0" fontId="60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0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41" fillId="16" borderId="3" xfId="0" applyNumberFormat="1" applyFont="1" applyFill="1" applyBorder="1" applyAlignment="1">
      <x:alignment horizontal="left" vertical="center" wrapText="1"/>
    </x:xf>
    <x:xf numFmtId="0" fontId="61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9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0" xfId="0" applyNumberFormat="1" applyFont="1" applyAlignment="1" applyProtection="1">
          <x:alignment horizontal="center" vertical="center"/>
        </x:xf>
      </mc:Fallback>
    </mc:AlternateContent>
    <x:xf numFmtId="0" fontId="41" fillId="15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2" fillId="4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2" fillId="4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54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2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2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3" fillId="4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3" fillId="4" borderId="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63" fillId="4" borderId="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3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3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2" fillId="4" borderId="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2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2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2" fillId="4" borderId="3" xfId="0" applyNumberFormat="1" applyFont="1" applyFill="1" applyBorder="1" applyAlignment="1" applyProtection="1">
      <x:alignment horizontal="general" vertical="center" wrapText="1"/>
    </x:xf>
    <x:xf numFmtId="0" fontId="62" fillId="0" borderId="0" xfId="0" applyNumberFormat="1" applyFont="1" applyFill="1" applyProtection="1">
      <x:alignment horizontal="general" vertical="center"/>
    </x:xf>
    <x:xf numFmtId="0" fontId="62" fillId="0" borderId="0" xfId="0" applyNumberFormat="1" applyFont="1" applyProtection="1">
      <x:alignment horizontal="general" vertical="center"/>
    </x:xf>
    <x:xf numFmtId="49" fontId="62" fillId="4" borderId="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39" fillId="0" borderId="0" xfId="0" applyNumberFormat="1" applyFont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9" fillId="0" borderId="0" xfId="0" applyNumberFormat="1" applyFont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4" fillId="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4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39" fillId="0" borderId="49" xfId="0" applyNumberFormat="1" applyFont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0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3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3" xfId="0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4" fillId="0" borderId="0" xfId="0" applyNumberFormat="1" applyFont="1" applyAlignment="1" applyProtection="1">
      <x:alignment horizontal="general" vertical="center" wrapText="1" shrinkToFit="1"/>
    </x:xf>
    <x:xf numFmtId="0" fontId="65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1" fillId="7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7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3" fillId="4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3" fillId="4" borderId="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165" fontId="50" fillId="7" borderId="50" xfId="0" applyNumberFormat="1" applyFont="1" applyFill="1" applyBorder="1">
      <x:alignment horizontal="general" vertical="center"/>
    </x:xf>
    <x:xf numFmtId="165" fontId="50" fillId="7" borderId="51" xfId="0" applyNumberFormat="1" applyFont="1" applyFill="1" applyBorder="1">
      <x:alignment horizontal="general" vertical="center"/>
    </x:xf>
    <x:xf numFmtId="165" fontId="50" fillId="7" borderId="5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165" fontId="36" fillId="7" borderId="52" xfId="0" applyNumberFormat="1" applyFont="1" applyFill="1" applyBorder="1">
      <x:alignment horizontal="general" vertical="center"/>
    </x:xf>
    <x:xf numFmtId="41" fontId="3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0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30" fillId="5" borderId="53" xfId="4" applyNumberFormat="1" applyFont="1" applyFill="1" applyBorder="1" applyAlignment="1">
      <x:alignment horizontal="general" vertical="center"/>
    </x:xf>
    <x:xf numFmtId="0" fontId="30" fillId="5" borderId="54" xfId="4" applyNumberFormat="1" applyFont="1" applyFill="1" applyBorder="1" applyAlignment="1">
      <x:alignment horizontal="general" vertical="center"/>
    </x:xf>
    <x:xf numFmtId="0" fontId="30" fillId="5" borderId="55" xfId="4" applyNumberFormat="1" applyFont="1" applyFill="1" applyBorder="1" applyAlignment="1">
      <x:alignment horizontal="general" vertical="center"/>
    </x:xf>
    <x:xf numFmtId="0" fontId="30" fillId="0" borderId="23" xfId="5" applyNumberFormat="1" applyFont="1" applyFill="1" applyBorder="1" applyAlignment="1">
      <x:alignment horizontal="left" vertical="center"/>
    </x:xf>
    <x:xf numFmtId="0" fontId="30" fillId="0" borderId="22" xfId="5" applyNumberFormat="1" applyFont="1" applyFill="1" applyBorder="1" applyAlignment="1">
      <x:alignment horizontal="left" vertical="center"/>
    </x:xf>
    <x:xf numFmtId="0" fontId="30" fillId="0" borderId="21" xfId="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41" fillId="7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7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7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7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42" fillId="0" borderId="56" xfId="0" applyNumberFormat="1" applyFont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41" fillId="7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41" fillId="7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51" fillId="0" borderId="3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51" fillId="0" borderId="3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7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7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42" fillId="0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42" fillId="0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0" xfId="0" applyNumberFormat="1" applyFont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0" xfId="0" applyNumberFormat="1" applyFont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0" xfId="0" applyNumberFormat="1" applyFont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0" xfId="0" applyNumberFormat="1" applyFont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0" borderId="0" xfId="0" applyNumberFormat="1" applyFont="1" applyAlignment="1" applyProtection="1">
          <x:alignment horizontal="center" vertical="center"/>
        </x:xf>
      </mc:Fallback>
    </mc:AlternateContent>
    <x:xf numFmtId="0" fontId="54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52" fillId="15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52" fillId="15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0" borderId="0" xfId="0" applyNumberFormat="1" applyFont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0" borderId="0" xfId="0" applyNumberFormat="1" applyFont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1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0" borderId="3" xfId="0" applyNumberFormat="1" applyFont="1" applyFill="1" applyBorder="1" applyAlignment="1">
          <x:alignment horizontal="center" vertical="center"/>
        </x:xf>
      </mc:Fallback>
    </mc:AlternateContent>
    <x:xf numFmtId="0" fontId="51" fillId="0" borderId="3" xfId="0" applyNumberFormat="1" applyFont="1" applyFill="1" applyBorder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51" fillId="0" borderId="3" xfId="1" applyNumberFormat="1" applyFont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51" fillId="0" borderId="3" xfId="1" applyNumberFormat="1" applyFont="1" applyBorder="1" applyAlignment="1" applyProtection="1">
          <x:alignment horizontal="right" vertical="center"/>
        </x:xf>
      </mc:Fallback>
    </mc:AlternateContent>
    <x:xf numFmtId="0" fontId="51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51" fillId="0" borderId="12" xfId="1" applyNumberFormat="1" applyFont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51" fillId="0" borderId="12" xfId="1" applyNumberFormat="1" applyFont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4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4" xfId="0" applyNumberFormat="1" applyFont="1" applyBorder="1" applyAlignment="1" applyProtection="1">
          <x:alignment horizontal="center" vertical="center"/>
        </x:xf>
      </mc:Fallback>
    </mc:AlternateContent>
    <x:xf numFmtId="0" fontId="51" fillId="0" borderId="3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Border="1" applyAlignment="1" applyProtection="1">
          <x:alignment horizontal="center" vertical="center" shrinkToFit="1"/>
        </x:xf>
      </mc:Fallback>
    </mc:AlternateContent>
    <x:xf numFmtId="0" fontId="51" fillId="0" borderId="1" xfId="0" applyNumberFormat="1" applyFont="1" applyBorder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1" fillId="0" borderId="17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17" xfId="0" applyNumberFormat="1" applyFont="1" applyBorder="1" applyAlignment="1" applyProtection="1">
          <x:alignment horizontal="center" vertical="center"/>
        </x:xf>
      </mc:Fallback>
    </mc:AlternateContent>
    <x:xf numFmtId="0" fontId="51" fillId="0" borderId="3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4" fontId="51" fillId="0" borderId="17" xfId="1" applyNumberFormat="1" applyFont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51" fillId="0" borderId="17" xfId="1" applyNumberFormat="1" applyFont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0" borderId="0" xfId="0" applyNumberFormat="1" applyFont="1" applyAlignment="1" applyProtection="1">
          <x:alignment horizontal="center" vertical="center"/>
        </x:xf>
      </mc:Fallback>
    </mc:AlternateContent>
    <x:xf numFmtId="0" fontId="51" fillId="0" borderId="3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51" fillId="0" borderId="3" xfId="0" applyNumberFormat="1" applyFont="1" applyBorder="1" applyAlignment="1">
      <x:alignment horizontal="general" vertical="center" shrinkToFit="1"/>
    </x:xf>
    <x:xf numFmtId="0" fontId="51" fillId="0" borderId="3" xfId="0" applyNumberFormat="1" applyFont="1" applyBorder="1" applyAlignment="1">
      <x:alignment horizontal="left" vertical="center" shrinkToFit="1"/>
    </x:xf>
    <x:xf numFmtId="0" fontId="51" fillId="0" borderId="3" xfId="0" applyNumberFormat="1" applyFont="1" applyBorder="1" applyAlignment="1">
      <x:alignment horizontal="left" vertical="center" shrinkToFit="1"/>
    </x:xf>
    <x:xf numFmtId="0" fontId="51" fillId="0" borderId="3" xfId="0" applyNumberFormat="1" applyFont="1" applyBorder="1" applyAlignment="1">
      <x:alignment horizontal="left" vertical="center" wrapText="1"/>
    </x:xf>
    <x:xf numFmtId="0" fontId="5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1" fillId="0" borderId="57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57" xfId="0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4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4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4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4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51" fillId="4" borderId="3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51" fillId="4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4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52" fillId="4" borderId="3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52" fillId="4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4" borderId="3" xfId="0" applyNumberFormat="1" applyFont="1" applyFill="1" applyBorder="1" applyAlignment="1">
          <x:alignment horizontal="center" vertical="center"/>
        </x:xf>
      </mc:Fallback>
    </mc:AlternateContent>
    <x:xf numFmtId="0" fontId="52" fillId="4" borderId="3" xfId="0" applyNumberFormat="1" applyFont="1" applyFill="1" applyBorder="1" applyAlignment="1">
      <x:alignment horizontal="general" vertical="center" wrapText="1"/>
    </x:xf>
    <x:xf numFmtId="0" fontId="51" fillId="0" borderId="3" xfId="0" applyNumberFormat="1" applyFont="1" applyBorder="1" applyAlignment="1" applyProtection="1">
      <x:alignment horizontal="general" vertical="center" shrinkToFit="1"/>
    </x:xf>
    <x:xf numFmtId="0" fontId="51" fillId="0" borderId="3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51" fillId="0" borderId="3" xfId="0" applyNumberFormat="1" applyFont="1" applyFill="1" applyBorder="1" applyAlignment="1" applyProtection="1">
      <x:alignment horizontal="left" vertical="center" shrinkToFit="1"/>
    </x:xf>
    <x:xf numFmtId="0" fontId="51" fillId="0" borderId="3" xfId="0" applyNumberFormat="1" applyFont="1" applyBorder="1" applyAlignment="1" applyProtection="1">
      <x:alignment horizontal="left" vertical="center" shrinkToFit="1"/>
    </x:xf>
    <x:xf numFmtId="0" fontId="51" fillId="0" borderId="3" xfId="0" applyNumberFormat="1" applyFont="1" applyFill="1" applyBorder="1" applyAlignment="1" applyProtection="1">
      <x:alignment horizontal="left" vertical="center" shrinkToFit="1"/>
    </x:xf>
    <x:xf numFmtId="0" fontId="51" fillId="0" borderId="0" xfId="0" applyNumberFormat="1" applyFont="1" applyFill="1" applyProtection="1">
      <x:alignment horizontal="general" vertical="center"/>
    </x:xf>
    <x:xf numFmtId="0" fontId="36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1" fillId="0" borderId="4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4" xfId="0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51" fillId="0" borderId="3" xfId="0" applyNumberFormat="1" applyFont="1" applyFill="1" applyBorder="1" applyAlignment="1" applyProtection="1">
      <x:alignment horizontal="left" vertical="center"/>
    </x:xf>
    <x:xf numFmtId="0" fontId="51" fillId="0" borderId="3" xfId="0" applyNumberFormat="1" applyFont="1" applyFill="1" applyBorder="1" applyAlignment="1" applyProtection="1">
      <x:alignment horizontal="left" vertical="center" wrapText="1"/>
    </x:xf>
    <x:xf numFmtId="0" fontId="51" fillId="0" borderId="3" xfId="0" applyNumberFormat="1" applyFont="1" applyBorder="1" applyAlignment="1" applyProtection="1">
      <x:alignment horizontal="left" vertical="center" wrapText="1"/>
    </x:xf>
    <x:xf numFmtId="0" fontId="51" fillId="0" borderId="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2" fillId="0" borderId="3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3" xfId="0" applyNumberFormat="1" applyFont="1" applyBorder="1" applyAlignment="1" applyProtection="1">
          <x:alignment horizontal="center" vertical="center"/>
        </x:xf>
      </mc:Fallback>
    </mc:AlternateContent>
    <x:xf numFmtId="0" fontId="1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2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165" fontId="36" fillId="8" borderId="0" xfId="0" applyNumberFormat="1" applyFont="1" applyFill="1" applyBorder="1">
      <x:alignment horizontal="general" vertical="center"/>
    </x:xf>
    <x:xf numFmtId="0" fontId="58" fillId="13" borderId="29" xfId="0" applyNumberFormat="1" applyFont="1" applyFill="1" applyBorder="1" applyAlignment="1">
      <x:alignment horizontal="left" vertical="center" wrapText="1"/>
    </x:xf>
    <x:xf numFmtId="0" fontId="58" fillId="14" borderId="29" xfId="0" applyNumberFormat="1" applyFont="1" applyFill="1" applyBorder="1" applyAlignment="1">
      <x:alignment horizontal="left" vertical="center" wrapText="1"/>
    </x:xf>
    <x:xf numFmtId="0" fontId="32" fillId="0" borderId="0" xfId="0" applyNumberFormat="1" applyFont="1" applyProtection="1">
      <x:alignment horizontal="general" vertical="center"/>
      <x:protection locked="0"/>
    </x:xf>
    <x:xf numFmtId="0" fontId="66" fillId="0" borderId="0" xfId="0" applyNumberFormat="1" applyFont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5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5" fillId="0" borderId="0" xfId="0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7" fillId="0" borderId="3" xfId="0" applyNumberFormat="1" applyFont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7" fillId="0" borderId="3" xfId="0" applyNumberFormat="1" applyFont="1" applyBorder="1" applyAlignment="1" applyProtection="1">
          <x:alignment horizontal="center" vertical="center" wrapText="1"/>
        </x:xf>
      </mc:Fallback>
    </mc:AlternateContent>
    <x:xf numFmtId="0" fontId="66" fillId="0" borderId="49" xfId="0" applyNumberFormat="1" applyFont="1" applyBorder="1" applyAlignment="1" applyProtection="1">
      <x:alignment horizontal="general" vertical="center" wrapText="1"/>
    </x:xf>
    <x:xf numFmtId="0" fontId="61" fillId="0" borderId="0" xfId="0" applyNumberFormat="1" applyFont="1" applyBorder="1" applyProtection="1">
      <x:alignment horizontal="general" vertical="center"/>
    </x:xf>
    <x:xf numFmtId="0" fontId="32" fillId="0" borderId="0" xfId="0" applyNumberFormat="1" applyFont="1" applyAlignment="1" applyProtection="1">
      <x:alignment horizontal="left" vertical="center"/>
    </x:xf>
    <x:xf numFmtId="0" fontId="41" fillId="0" borderId="0" xfId="0" applyNumberFormat="1" applyFont="1" applyAlignment="1" applyProtection="1">
      <x:alignment horizontal="left" vertical="center"/>
    </x:xf>
    <x:xf numFmtId="0" fontId="41" fillId="0" borderId="0" xfId="0" applyNumberFormat="1" applyFont="1" applyAlignment="1" applyProtection="1">
      <x:alignment horizontal="left" vertical="center"/>
    </x:xf>
    <x:xf numFmtId="165" fontId="32" fillId="0" borderId="0" xfId="0" applyNumberFormat="1" applyFont="1" applyProtection="1">
      <x:alignment horizontal="general" vertical="center"/>
    </x:xf>
    <x:xf numFmtId="165" fontId="55" fillId="0" borderId="0" xfId="0" applyNumberFormat="1" applyFont="1" applyProtection="1">
      <x:alignment horizontal="general" vertical="center"/>
    </x:xf>
    <x:xf numFmtId="165" fontId="36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51" fillId="0" borderId="3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1" fillId="0" borderId="3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3" fillId="19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3" fillId="19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2" fillId="15" borderId="3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2" fillId="15" borderId="3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2" fillId="16" borderId="3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2" fillId="16" borderId="3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2" fillId="7" borderId="3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2" fillId="7" borderId="3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2" fillId="11" borderId="3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2" fillId="11" borderId="3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1" fillId="7" borderId="3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1" fillId="7" borderId="3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2" fillId="19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2" fillId="19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2" fillId="0" borderId="0" xfId="0" applyNumberFormat="1" applyFont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2" fillId="0" borderId="0" xfId="0" applyNumberFormat="1" applyFont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2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2" fillId="0" borderId="0" xfId="0" applyNumberFormat="1" applyFont="1" applyAlignment="1" applyProtection="1">
          <x:alignment horizontal="center" vertical="center"/>
        </x:xf>
      </mc:Fallback>
    </mc:AlternateContent>
    <x:xf numFmtId="165" fontId="39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4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4" fillId="0" borderId="0" xfId="0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8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1" fillId="19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1" fillId="19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4" fillId="7" borderId="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4" fillId="7" borderId="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1" fillId="7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1" fillId="7" borderId="3" xfId="1" applyNumberFormat="1" applyFont="1" applyFill="1" applyBorder="1" applyAlignment="1" applyProtection="1">
          <x:alignment horizontal="right" vertical="center"/>
        </x:xf>
      </mc:Fallback>
    </mc:AlternateContent>
    <x:xf numFmtId="165" fontId="68" fillId="0" borderId="0" xfId="0" applyNumberFormat="1" applyFont="1" applyProtection="1">
      <x:alignment horizontal="general" vertical="center"/>
    </x:xf>
    <x:xf numFmtId="165" fontId="68" fillId="10" borderId="0" xfId="0" applyNumberFormat="1" applyFont="1" applyFill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51" fillId="0" borderId="3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1" fillId="0" borderId="3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1" fillId="19" borderId="3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1" fillId="19" borderId="3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3" fillId="19" borderId="3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3" fillId="19" borderId="3" xfId="1" applyNumberFormat="1" applyFont="1" applyFill="1" applyBorder="1" applyAlignment="1" applyProtection="1">
          <x:alignment horizontal="right" vertical="center" wrapText="1"/>
        </x:xf>
      </mc:Fallback>
    </mc:AlternateContent>
    <x:xf numFmtId="165" fontId="36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9" fillId="0" borderId="0" xfId="0" applyNumberFormat="1" applyFont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9" fillId="0" borderId="0" xfId="0" applyNumberFormat="1" applyFont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8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1" fillId="19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1" fillId="19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3" fillId="19" borderId="3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3" fillId="19" borderId="3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3" fillId="19" borderId="3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3" fillId="19" borderId="3" xfId="1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4" fillId="0" borderId="0" xfId="0" applyNumberFormat="1" applyFont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4" fillId="0" borderId="0" xfId="0" applyNumberFormat="1" applyFont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1" fillId="0" borderId="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1" fillId="0" borderId="2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1" fillId="16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1" fillId="16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1" fillId="7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1" fillId="7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1" fillId="11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1" fillId="11" borderId="3" xfId="1" applyNumberFormat="1" applyFont="1" applyFill="1" applyBorder="1" applyAlignment="1" applyProtection="1">
          <x:alignment horizontal="right" vertical="center"/>
        </x:xf>
      </mc:Fallback>
    </mc:AlternateContent>
    <x:xf numFmtId="165" fontId="41" fillId="0" borderId="0" xfId="0" applyNumberFormat="1" applyFont="1" applyProtection="1">
      <x:alignment horizontal="general" vertical="center"/>
    </x:xf>
    <x:xf numFmtId="165" fontId="69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51" fillId="0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1" fillId="0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3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3" fillId="0" borderId="0" xfId="0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8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1" fillId="7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1" fillId="7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1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1" fillId="0" borderId="0" xfId="0" applyNumberFormat="1" applyFont="1" applyAlignment="1" applyProtection="1">
          <x:alignment horizontal="center" vertical="center"/>
        </x:xf>
      </mc:Fallback>
    </mc:AlternateContent>
    <x:xf numFmtId="165" fontId="32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51" fillId="0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1" fillId="0" borderId="3" xfId="1" applyNumberFormat="1" applyFont="1" applyFill="1" applyBorder="1" applyAlignment="1" applyProtection="1">
          <x:alignment horizontal="right" vertical="center"/>
        </x:xf>
      </mc:Fallback>
    </mc:AlternateContent>
    <x:xf numFmtId="165" fontId="41" fillId="0" borderId="0" xfId="0" applyNumberFormat="1" applyFont="1" applyProtection="1">
      <x:alignment horizontal="general" vertical="center"/>
    </x:xf>
    <x:xf numFmtId="165" fontId="41" fillId="0" borderId="0" xfId="0" applyNumberFormat="1" applyFont="1" applyFill="1" applyProtection="1">
      <x:alignment horizontal="general" vertical="center"/>
    </x:xf>
    <x:xf numFmtId="165" fontId="42" fillId="0" borderId="0" xfId="0" applyNumberFormat="1" applyFont="1" applyProtection="1">
      <x:alignment horizontal="general" vertical="center"/>
    </x:xf>
    <x:xf numFmtId="165" fontId="42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41" fillId="11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1" fillId="11" borderId="3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1" fillId="7" borderId="3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1" fillId="7" borderId="3" xfId="1" applyNumberFormat="1" applyFont="1" applyFill="1" applyBorder="1" applyAlignment="1" applyProtection="1">
          <x:alignment horizontal="right" vertical="center"/>
        </x:xf>
      </mc:Fallback>
    </mc:AlternateContent>
    <x:xf numFmtId="165" fontId="41" fillId="0" borderId="0" xfId="0" applyNumberFormat="1" applyFo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9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9" fillId="0" borderId="0" xfId="0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8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8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1" fillId="0" borderId="3" xfId="1" applyNumberFormat="1" applyFont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1" fillId="0" borderId="3" xfId="1" applyNumberFormat="1" applyFont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1" fillId="7" borderId="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1" fillId="7" borderId="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8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8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1" fillId="0" borderId="12" xfId="1" applyNumberFormat="1" applyFont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1" fillId="0" borderId="12" xfId="1" applyNumberFormat="1" applyFont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0" fillId="0" borderId="0" xfId="0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0" fillId="0" borderId="0" xfId="0" applyNumberFormat="1" applyFon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1" fillId="0" borderId="0" xfId="0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1" fillId="0" borderId="0" xfId="0" applyNumberFormat="1" applyFont="1" applyAlignment="1">
          <x:alignment horizontal="centerContinuous" vertical="center"/>
        </x:xf>
      </mc:Fallback>
    </mc:AlternateContent>
    <x:xf numFmtId="165" fontId="3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6" fillId="2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20" borderId="6" xfId="0" applyNumberFormat="1" applyFont="1" applyFill="1" applyBorder="1" applyAlignment="1">
          <x:alignment horizontal="center" vertical="center"/>
        </x:xf>
      </mc:Fallback>
    </mc:AlternateContent>
    <x:xf numFmtId="165" fontId="32" fillId="7" borderId="3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6" fillId="2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20" borderId="3" xfId="0" applyNumberFormat="1" applyFont="1" applyFill="1" applyBorder="1" applyAlignment="1">
          <x:alignment horizontal="center" vertical="center"/>
        </x:xf>
      </mc:Fallback>
    </mc:AlternateContent>
    <x:xf numFmtId="165" fontId="32" fillId="7" borderId="3" xfId="0" applyNumberFormat="1" applyFont="1" applyFill="1" applyBorder="1">
      <x:alignment horizontal="general" vertical="center"/>
    </x:xf>
    <x:xf numFmtId="165" fontId="32" fillId="7" borderId="3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2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2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2" fillId="19" borderId="3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2" fillId="19" borderId="3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6" fillId="19" borderId="3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19" borderId="3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6" fillId="19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19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6" fillId="11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11" borderId="6" xfId="0" applyNumberFormat="1" applyFont="1" applyFill="1" applyBorder="1" applyAlignment="1">
          <x:alignment horizontal="center" vertical="center"/>
        </x:xf>
      </mc:Fallback>
    </mc:AlternateContent>
    <x:xf numFmtId="165" fontId="36" fillId="11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6" fillId="11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11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6" fillId="21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21" borderId="6" xfId="0" applyNumberFormat="1" applyFont="1" applyFill="1" applyBorder="1" applyAlignment="1">
          <x:alignment horizontal="center" vertical="center"/>
        </x:xf>
      </mc:Fallback>
    </mc:AlternateContent>
    <x:xf numFmtId="165" fontId="36" fillId="21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6" fillId="21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21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2" fillId="2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2" fillId="2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2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2" fillId="0" borderId="3" xfId="0" applyNumberFormat="1" applyFont="1" applyBorder="1" applyAlignment="1">
          <x:alignment horizontal="center" vertical="center"/>
        </x:xf>
      </mc:Fallback>
    </mc:AlternateContent>
    <x:xf numFmtId="165" fontId="32" fillId="7" borderId="58" xfId="0" applyNumberFormat="1" applyFont="1" applyFill="1" applyBorder="1">
      <x:alignment horizontal="general" vertical="center"/>
    </x:xf>
    <x:xf numFmtId="165" fontId="36" fillId="21" borderId="59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1" fillId="7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1" fillId="7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5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5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5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5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2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165" fontId="50" fillId="7" borderId="60" xfId="0" applyNumberFormat="1" applyFont="1" applyFill="1" applyBorder="1">
      <x:alignment horizontal="general" vertical="center"/>
    </x:xf>
    <x:xf numFmtId="165" fontId="50" fillId="7" borderId="61" xfId="0" applyNumberFormat="1" applyFont="1" applyFill="1" applyBorder="1">
      <x:alignment horizontal="general" vertical="center"/>
    </x:xf>
    <x:xf numFmtId="165" fontId="50" fillId="7" borderId="62" xfId="0" applyNumberFormat="1" applyFont="1" applyFill="1" applyBorder="1">
      <x:alignment horizontal="general" vertical="center"/>
    </x:xf>
    <x:xf numFmtId="165" fontId="50" fillId="7" borderId="63" xfId="0" applyNumberFormat="1" applyFont="1" applyFill="1" applyBorder="1">
      <x:alignment horizontal="general" vertical="center"/>
    </x:xf>
    <x:xf numFmtId="165" fontId="50" fillId="7" borderId="64" xfId="0" applyNumberFormat="1" applyFont="1" applyFill="1" applyBorder="1">
      <x:alignment horizontal="general" vertical="center"/>
    </x:xf>
    <x:xf numFmtId="165" fontId="36" fillId="7" borderId="60" xfId="0" applyNumberFormat="1" applyFont="1" applyFill="1" applyBorder="1">
      <x:alignment horizontal="general" vertical="center"/>
    </x:xf>
    <x:xf numFmtId="165" fontId="36" fillId="7" borderId="65" xfId="0" applyNumberFormat="1" applyFont="1" applyFill="1" applyBorder="1">
      <x:alignment horizontal="general" vertical="center"/>
    </x:xf>
    <x:xf numFmtId="165" fontId="36" fillId="7" borderId="6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9" fillId="15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15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73" fillId="0" borderId="0" xfId="0" applyNumberFormat="1" applyFont="1" applyBorder="1" applyAlignment="1" applyProtection="1">
      <x:alignment horizontal="left" vertical="center" shrinkToFit="1"/>
    </x:xf>
    <x:xf numFmtId="0" fontId="74" fillId="0" borderId="0" xfId="0" applyNumberFormat="1" applyFont="1" applyBorder="1" applyAlignment="1" applyProtection="1">
      <x:alignment horizontal="left" vertical="center" shrinkToFit="1"/>
    </x:xf>
    <x:xf numFmtId="0" fontId="62" fillId="4" borderId="3" xfId="0" applyNumberFormat="1" applyFont="1" applyFill="1" applyBorder="1" applyAlignment="1" applyProtection="1">
      <x:alignment horizontal="left" vertical="center" wrapText="1"/>
    </x:xf>
    <x:xf numFmtId="0" fontId="39" fillId="15" borderId="3" xfId="0" applyNumberFormat="1" applyFont="1" applyFill="1" applyBorder="1" applyAlignment="1">
      <x:alignment horizontal="general" vertical="center" wrapText="1" shrinkToFit="1"/>
    </x:xf>
    <x:xf numFmtId="0" fontId="31" fillId="2" borderId="0" xfId="1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51" fillId="19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51" fillId="19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3" fillId="19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3" fillId="19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2" fillId="19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2" fillId="19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41" fillId="0" borderId="0" xfId="0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41" fillId="0" borderId="0" xfId="0" applyNumberFormat="1" applyFont="1" applyAlignment="1" applyProtection="1">
          <x:alignment horizontal="center" vertical="center"/>
        </x:xf>
      </mc:Fallback>
    </mc:AlternateContent>
    <x:xf numFmtId="165" fontId="39" fillId="0" borderId="0" xfId="0" applyNumberFormat="1" applyFont="1" applyProtection="1">
      <x:alignment horizontal="general" vertical="center"/>
    </x:xf>
    <x:xf numFmtId="173" fontId="0" fillId="0" borderId="0" xfId="0" applyNumberFormat="1">
      <x:alignment horizontal="general" vertical="center"/>
    </x:xf>
    <x:xf numFmtId="0" fontId="30" fillId="5" borderId="21" xfId="5" applyNumberFormat="1" applyFont="1" applyFill="1" applyBorder="1" applyAlignment="1">
      <x:alignment horizontal="left" vertical="center"/>
    </x:xf>
    <x:xf numFmtId="0" fontId="30" fillId="5" borderId="27" xfId="5" applyNumberFormat="1" applyFont="1" applyFill="1" applyBorder="1" applyAlignment="1">
      <x:alignment horizontal="left" vertical="center"/>
    </x:xf>
    <x:xf numFmtId="0" fontId="30" fillId="5" borderId="53" xfId="5" applyNumberFormat="1" applyFont="1" applyFill="1" applyBorder="1">
      <x:alignment horizontal="general" vertical="center"/>
    </x:xf>
    <x:xf numFmtId="49" fontId="30" fillId="5" borderId="27" xfId="5" applyNumberFormat="1" applyFont="1" applyFill="1" applyBorder="1">
      <x:alignment horizontal="general" vertical="center"/>
    </x:xf>
    <x:xf numFmtId="49" fontId="30" fillId="5" borderId="24" xfId="5" applyNumberFormat="1" applyFont="1" applyFill="1" applyBorder="1">
      <x:alignment horizontal="general" vertical="center"/>
    </x:xf>
    <x:xf numFmtId="0" fontId="30" fillId="5" borderId="22" xfId="5" applyNumberFormat="1" applyFont="1" applyFill="1" applyBorder="1" applyAlignment="1">
      <x:alignment horizontal="left" vertical="center"/>
    </x:xf>
    <x:xf numFmtId="0" fontId="30" fillId="5" borderId="28" xfId="5" applyNumberFormat="1" applyFont="1" applyFill="1" applyBorder="1" applyAlignment="1">
      <x:alignment horizontal="left" vertical="center"/>
    </x:xf>
    <x:xf numFmtId="0" fontId="30" fillId="5" borderId="55" xfId="5" applyNumberFormat="1" applyFont="1" applyFill="1" applyBorder="1">
      <x:alignment horizontal="general" vertical="center"/>
    </x:xf>
    <x:xf numFmtId="49" fontId="30" fillId="5" borderId="28" xfId="5" applyNumberFormat="1" applyFont="1" applyFill="1" applyBorder="1">
      <x:alignment horizontal="general" vertical="center"/>
    </x:xf>
    <x:xf numFmtId="49" fontId="30" fillId="5" borderId="26" xfId="5" applyNumberFormat="1" applyFont="1" applyFill="1" applyBorder="1">
      <x:alignment horizontal="general" vertical="center"/>
    </x:xf>
    <x:xf numFmtId="0" fontId="30" fillId="5" borderId="42" xfId="5" applyNumberFormat="1" applyFont="1" applyFill="1" applyBorder="1" applyAlignment="1">
      <x:alignment horizontal="left" vertical="center"/>
    </x:xf>
    <x:xf numFmtId="0" fontId="30" fillId="5" borderId="43" xfId="5" applyNumberFormat="1" applyFont="1" applyFill="1" applyBorder="1" applyAlignment="1">
      <x:alignment horizontal="left" vertical="center"/>
    </x:xf>
    <x:xf numFmtId="0" fontId="30" fillId="5" borderId="66" xfId="5" applyNumberFormat="1" applyFont="1" applyFill="1" applyBorder="1">
      <x:alignment horizontal="general" vertical="center"/>
    </x:xf>
    <x:xf numFmtId="49" fontId="30" fillId="5" borderId="43" xfId="5" applyNumberFormat="1" applyFont="1" applyFill="1" applyBorder="1">
      <x:alignment horizontal="general" vertical="center"/>
    </x:xf>
    <x:xf numFmtId="49" fontId="30" fillId="5" borderId="44" xfId="5" applyNumberFormat="1" applyFont="1" applyFill="1" applyBorder="1">
      <x:alignment horizontal="general" vertical="center"/>
    </x:xf>
    <x:xf numFmtId="0" fontId="30" fillId="5" borderId="23" xfId="5" applyNumberFormat="1" applyFont="1" applyFill="1" applyBorder="1" applyAlignment="1">
      <x:alignment horizontal="left" vertical="center"/>
    </x:xf>
    <x:xf numFmtId="0" fontId="30" fillId="5" borderId="5" xfId="5" applyNumberFormat="1" applyFont="1" applyFill="1" applyBorder="1" applyAlignment="1">
      <x:alignment horizontal="left" vertical="center"/>
    </x:xf>
    <x:xf numFmtId="0" fontId="30" fillId="5" borderId="54" xfId="5" applyNumberFormat="1" applyFont="1" applyFill="1" applyBorder="1">
      <x:alignment horizontal="general" vertical="center"/>
    </x:xf>
    <x:xf numFmtId="49" fontId="30" fillId="5" borderId="5" xfId="5" applyNumberFormat="1" applyFont="1" applyFill="1" applyBorder="1">
      <x:alignment horizontal="general" vertical="center"/>
    </x:xf>
    <x:xf numFmtId="49" fontId="30" fillId="5" borderId="25" xfId="5" applyNumberFormat="1" applyFont="1" applyFill="1" applyBorder="1">
      <x:alignment horizontal="general" vertical="center"/>
    </x:xf>
    <x:xf numFmtId="49" fontId="30" fillId="5" borderId="40" xfId="5" applyNumberFormat="1" applyFont="1" applyFill="1" applyBorder="1">
      <x:alignment horizontal="general" vertical="center"/>
    </x:xf>
    <x:xf numFmtId="49" fontId="30" fillId="5" borderId="41" xfId="5" applyNumberFormat="1" applyFont="1" applyFill="1" applyBorder="1">
      <x:alignment horizontal="general" vertical="center"/>
    </x:xf>
    <x:xf numFmtId="0" fontId="30" fillId="5" borderId="26" xfId="4" applyNumberFormat="1" applyFont="1" applyFill="1" applyBorder="1" applyAlignment="1">
      <x:alignment horizontal="left" vertical="center"/>
    </x:xf>
    <x:xf numFmtId="0" fontId="30" fillId="5" borderId="24" xfId="4" applyNumberFormat="1" applyFont="1" applyFill="1" applyBorder="1" applyAlignment="1">
      <x:alignment horizontal="left" vertical="center"/>
    </x:xf>
    <x:xf numFmtId="0" fontId="30" fillId="5" borderId="25" xfId="4" applyNumberFormat="1" applyFont="1" applyFill="1" applyBorder="1" applyAlignment="1">
      <x:alignment horizontal="left" vertical="center"/>
    </x:xf>
    <x:xf numFmtId="0" fontId="30" fillId="5" borderId="38" xfId="5" applyNumberFormat="1" applyFont="1" applyFill="1" applyBorder="1" applyAlignment="1">
      <x:alignment horizontal="left" vertical="center"/>
    </x:xf>
    <x:xf numFmtId="0" fontId="30" fillId="5" borderId="48" xfId="5" applyNumberFormat="1" applyFont="1" applyFill="1" applyBorder="1" applyAlignment="1">
      <x:alignment horizontal="left" vertical="center"/>
    </x:xf>
    <x:xf numFmtId="0" fontId="30" fillId="5" borderId="67" xfId="5" applyNumberFormat="1" applyFont="1" applyFill="1" applyBorder="1">
      <x:alignment horizontal="general" vertical="center"/>
    </x:xf>
    <x:xf numFmtId="0" fontId="30" fillId="5" borderId="39" xfId="5" applyNumberFormat="1" applyFont="1" applyFill="1" applyBorder="1" applyAlignment="1">
      <x:alignment horizontal="left" vertical="center"/>
    </x:xf>
    <x:xf numFmtId="0" fontId="30" fillId="5" borderId="40" xfId="4" applyNumberFormat="1" applyFont="1" applyFill="1" applyBorder="1" applyAlignment="1">
      <x:alignment horizontal="general" vertical="center"/>
    </x:xf>
    <x:xf numFmtId="0" fontId="30" fillId="5" borderId="68" xfId="5" applyNumberFormat="1" applyFont="1" applyFill="1" applyBorder="1">
      <x:alignment horizontal="general" vertical="center"/>
    </x:xf>
    <x:xf numFmtId="0" fontId="30" fillId="5" borderId="40" xfId="5" applyNumberFormat="1" applyFont="1" applyFill="1" applyBorder="1" applyAlignment="1">
      <x:alignment horizontal="left" vertical="center"/>
    </x:xf>
    <x:xf numFmtId="49" fontId="30" fillId="5" borderId="46" xfId="5" applyNumberFormat="1" applyFont="1" applyFill="1" applyBorder="1">
      <x:alignment horizontal="general" vertical="center"/>
    </x:xf>
    <x:xf numFmtId="49" fontId="30" fillId="5" borderId="37" xfId="5" applyNumberFormat="1" applyFont="1" applyFill="1" applyBorder="1">
      <x:alignment horizontal="general" vertical="center"/>
    </x:xf>
    <x:xf numFmtId="0" fontId="30" fillId="5" borderId="21" xfId="4" applyNumberFormat="1" applyFont="1" applyFill="1" applyBorder="1" applyAlignment="1">
      <x:alignment horizontal="left" vertical="center"/>
    </x:xf>
    <x:xf numFmtId="0" fontId="30" fillId="5" borderId="27" xfId="4" applyNumberFormat="1" applyFont="1" applyFill="1" applyBorder="1" applyAlignment="1">
      <x:alignment horizontal="left" vertical="center"/>
    </x:xf>
    <x:xf numFmtId="0" fontId="30" fillId="5" borderId="23" xfId="4" applyNumberFormat="1" applyFont="1" applyFill="1" applyBorder="1" applyAlignment="1">
      <x:alignment horizontal="left" vertical="center"/>
    </x:xf>
    <x:xf numFmtId="0" fontId="30" fillId="5" borderId="5" xfId="4" applyNumberFormat="1" applyFont="1" applyFill="1" applyBorder="1" applyAlignment="1">
      <x:alignment horizontal="left" vertical="center"/>
    </x:xf>
    <x:xf numFmtId="0" fontId="30" fillId="5" borderId="22" xfId="4" applyNumberFormat="1" applyFont="1" applyFill="1" applyBorder="1" applyAlignment="1">
      <x:alignment horizontal="left" vertical="center"/>
    </x:xf>
    <x:xf numFmtId="0" fontId="30" fillId="18" borderId="28" xfId="4" applyNumberFormat="1" applyFont="1" applyFill="1" applyBorder="1" applyAlignment="1">
      <x:alignment horizontal="left" vertical="center"/>
    </x:xf>
    <x:xf numFmtId="0" fontId="30" fillId="5" borderId="28" xfId="4" applyNumberFormat="1" applyFont="1" applyFill="1" applyBorder="1" applyAlignment="1">
      <x:alignment horizontal="left" vertical="center"/>
    </x:xf>
    <x:xf numFmtId="0" fontId="30" fillId="5" borderId="55" xfId="4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69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69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70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70" xfId="7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71" xfId="7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71" xfId="7" applyNumberFormat="1" applyFont="1" applyFill="1" applyBorder="1" applyAlignment="1">
          <x:alignment horizontal="justify" vertical="center" wrapText="1"/>
        </x:xf>
      </mc:Fallback>
    </mc:AlternateContent>
    <x:xf numFmtId="49" fontId="30" fillId="5" borderId="48" xfId="5" applyNumberFormat="1" applyFont="1" applyFill="1" applyBorder="1">
      <x:alignment horizontal="general" vertical="center"/>
    </x:xf>
    <x:xf numFmtId="49" fontId="30" fillId="5" borderId="47" xfId="5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6" fillId="0" borderId="0" xfId="0" applyNumberFormat="1" applyFont="1" applyAlignment="1">
          <x:alignment horizontal="center" vertical="center"/>
        </x:xf>
      </mc:Fallback>
    </mc:AlternateContent>
    <x:xf numFmtId="0" fontId="36" fillId="17" borderId="72" xfId="0" applyNumberFormat="1" applyFont="1" applyFill="1" applyBorder="1" applyAlignment="1">
      <x:alignment horizontal="general" vertical="center"/>
    </x:xf>
    <x:xf numFmtId="0" fontId="36" fillId="17" borderId="73" xfId="0" applyNumberFormat="1" applyFont="1" applyFill="1" applyBorder="1" applyAlignment="1">
      <x:alignment horizontal="general" vertical="center"/>
    </x:xf>
    <x:xf numFmtId="0" fontId="36" fillId="17" borderId="74" xfId="0" applyNumberFormat="1" applyFont="1" applyFill="1" applyBorder="1" applyAlignment="1">
      <x:alignment horizontal="general" vertical="center"/>
    </x:xf>
    <x:xf numFmtId="0" fontId="0" fillId="0" borderId="31" xfId="0" applyNumberFormat="1" applyBorder="1">
      <x:alignment horizontal="general" vertical="center"/>
    </x:xf>
    <x:xf numFmtId="0" fontId="0" fillId="0" borderId="75" xfId="0" applyNumberFormat="1" applyBorder="1">
      <x:alignment horizontal="general" vertical="center"/>
    </x:xf>
    <x:xf numFmtId="0" fontId="0" fillId="0" borderId="32" xfId="0" applyNumberFormat="1" applyBorder="1">
      <x:alignment horizontal="general" vertical="center"/>
    </x:xf>
    <x:xf numFmtId="0" fontId="0" fillId="0" borderId="33" xfId="0" applyNumberFormat="1" applyBorder="1">
      <x:alignment horizontal="general" vertical="center"/>
    </x:xf>
    <x:xf numFmtId="0" fontId="0" fillId="0" borderId="3" xfId="0" applyNumberFormat="1" applyBorder="1">
      <x:alignment horizontal="general" vertical="center"/>
    </x:xf>
    <x:xf numFmtId="0" fontId="0" fillId="0" borderId="29" xfId="0" applyNumberFormat="1" applyBorder="1">
      <x:alignment horizontal="general" vertical="center"/>
    </x:xf>
    <x:xf numFmtId="0" fontId="0" fillId="0" borderId="34" xfId="0" applyNumberFormat="1" applyBorder="1">
      <x:alignment horizontal="general" vertical="center"/>
    </x:xf>
    <x:xf numFmtId="0" fontId="0" fillId="0" borderId="76" xfId="0" applyNumberFormat="1" applyBorder="1">
      <x:alignment horizontal="general" vertical="center"/>
    </x:xf>
    <x:xf numFmtId="0" fontId="0" fillId="0" borderId="30" xfId="0" applyNumberFormat="1" applyBorder="1">
      <x:alignment horizontal="general" vertical="center"/>
    </x:xf>
    <x:xf numFmtId="0" fontId="6" fillId="0" borderId="0" xfId="2" applyNumberFormat="1">
      <x:alignment horizontal="general" vertical="bottom"/>
    </x:xf>
    <x:xf numFmtId="0" fontId="75" fillId="0" borderId="77" xfId="2" quotePrefix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70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70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0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0" xfId="3" applyNumberFormat="1" applyFont="1" applyFill="1" applyBorder="1" applyAlignment="1">
          <x:alignment horizontal="right" vertical="center" shrinkToFit="1"/>
        </x:xf>
      </mc:Fallback>
    </mc:AlternateContent>
    <x:xf numFmtId="165" fontId="32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72" fillId="19" borderId="3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2" fillId="19" borderId="3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6" fillId="19" borderId="3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19" borderId="3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7" fillId="19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7" fillId="19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6" fillId="19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19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6" fillId="19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19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6" fillId="5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5" borderId="6" xfId="0" applyNumberFormat="1" applyFont="1" applyFill="1" applyBorder="1" applyAlignment="1">
          <x:alignment horizontal="center" vertical="center"/>
        </x:xf>
      </mc:Fallback>
    </mc:AlternateContent>
    <x:xf numFmtId="165" fontId="36" fillId="5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6" fillId="5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5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2" fillId="2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2" fillId="22" borderId="6" xfId="0" applyNumberFormat="1" applyFont="1" applyFill="1" applyBorder="1" applyAlignment="1">
          <x:alignment horizontal="center" vertical="center"/>
        </x:xf>
      </mc:Fallback>
    </mc:AlternateContent>
    <x:xf numFmtId="165" fontId="32" fillId="7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2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2" fillId="0" borderId="3" xfId="0" applyNumberFormat="1" applyFont="1" applyBorder="1" applyAlignment="1">
          <x:alignment horizontal="center" vertical="center"/>
        </x:xf>
      </mc:Fallback>
    </mc:AlternateContent>
    <x:xf numFmtId="165" fontId="32" fillId="6" borderId="3" xfId="0" applyNumberFormat="1" applyFont="1" applyFill="1" applyBorder="1">
      <x:alignment horizontal="general" vertical="center"/>
    </x:xf>
    <x:xf numFmtId="165" fontId="32" fillId="6" borderId="7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6" fillId="21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21" borderId="6" xfId="0" applyNumberFormat="1" applyFont="1" applyFill="1" applyBorder="1" applyAlignment="1">
          <x:alignment horizontal="center" vertical="center"/>
        </x:xf>
      </mc:Fallback>
    </mc:AlternateContent>
    <x:xf numFmtId="165" fontId="36" fillId="21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36" fillId="21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21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2" fillId="21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2" fillId="21" borderId="3" xfId="0" applyNumberFormat="1" applyFont="1" applyFill="1" applyBorder="1" applyAlignment="1">
          <x:alignment horizontal="center" vertical="center"/>
        </x:xf>
      </mc:Fallback>
    </mc:AlternateContent>
    <x:xf numFmtId="0" fontId="78" fillId="0" borderId="0" xfId="2" applyNumberFormat="1" applyFont="1" applyFill="1" applyAlignment="1">
      <x:alignment horizontal="general" vertical="center"/>
    </x:xf>
    <x:xf numFmtId="0" fontId="76" fillId="0" borderId="79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80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80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81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81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82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82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83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83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8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84" xfId="2" applyNumberFormat="1" applyFont="1" applyFill="1" applyBorder="1" applyAlignment="1">
          <x:alignment horizontal="center" vertical="center" shrinkToFit="1"/>
        </x:xf>
      </mc:Fallback>
    </mc:AlternateContent>
    <x:xf numFmtId="0" fontId="76" fillId="0" borderId="85" xfId="2" applyNumberFormat="1" applyFont="1" applyFill="1" applyBorder="1" applyAlignment="1">
      <x:alignment horizontal="left" vertical="center" shrinkToFit="1"/>
    </x:xf>
    <x:xf numFmtId="0" fontId="76" fillId="0" borderId="86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87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87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88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88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89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89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49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49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9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9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9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9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92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92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70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70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93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93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0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0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5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57" xfId="2" applyNumberFormat="1" applyFont="1" applyFill="1" applyBorder="1" applyAlignment="1">
          <x:alignment horizontal="center" vertical="center" shrinkToFit="1"/>
        </x:xf>
      </mc:Fallback>
    </mc:AlternateContent>
    <x:xf numFmtId="0" fontId="76" fillId="0" borderId="91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72" fontId="75" fillId="0" borderId="94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94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95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95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9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9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97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97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98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98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0" borderId="1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17" xfId="2" applyNumberFormat="1" applyFont="1" applyFill="1" applyBorder="1" applyAlignment="1">
          <x:alignment horizontal="center" vertical="center" shrinkToFit="1"/>
        </x:xf>
      </mc:Fallback>
    </mc:AlternateContent>
    <x:xf numFmtId="0" fontId="75" fillId="0" borderId="86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99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99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00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00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40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40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01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01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68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68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02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02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10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103" xfId="2" applyNumberFormat="1" applyFont="1" applyFill="1" applyBorder="1" applyAlignment="1">
          <x:alignment horizontal="center" vertical="center" shrinkToFit="1"/>
        </x:xf>
      </mc:Fallback>
    </mc:AlternateContent>
    <x:xf numFmtId="0" fontId="75" fillId="0" borderId="77" xfId="2" quotePrefix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75" fillId="0" borderId="104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04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4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4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05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05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3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3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0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0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0" borderId="7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73" xfId="2" applyNumberFormat="1" applyFont="1" applyFill="1" applyBorder="1" applyAlignment="1">
          <x:alignment horizontal="center" vertical="center" shrinkToFit="1"/>
        </x:xf>
      </mc:Fallback>
    </mc:AlternateContent>
    <x:xf numFmtId="0" fontId="75" fillId="0" borderId="35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107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07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08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08" xfId="8" applyNumberFormat="1" applyFont="1" applyFill="1" applyBorder="1" applyAlignment="1">
          <x:alignment horizontal="right" vertical="center" shrinkToFit="1"/>
        </x:xf>
      </mc:Fallback>
    </mc:AlternateContent>
    <x:xf numFmtId="0" fontId="75" fillId="0" borderId="77" xfId="2" applyNumberFormat="1" applyFont="1" applyFill="1" applyBorder="1" applyAlignment="1">
      <x:alignment horizontal="general" vertical="center" shrinkToFit="1"/>
    </x:xf>
    <x:xf numFmtId="0" fontId="6" fillId="0" borderId="0" xfId="2" applyNumberFormat="1" applyAlignment="1">
      <x:alignment horizontal="general" vertical="center"/>
    </x:xf>
    <x:xf numFmtId="0" fontId="76" fillId="0" borderId="79" xfId="2" applyNumberFormat="1" applyFont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109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09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10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10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11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11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12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12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7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7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7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76" xfId="2" applyNumberFormat="1" applyFont="1" applyFill="1" applyBorder="1" applyAlignment="1">
          <x:alignment horizontal="center" vertical="center" shrinkToFit="1"/>
        </x:xf>
      </mc:Fallback>
    </mc:AlternateContent>
    <x:xf numFmtId="0" fontId="75" fillId="0" borderId="113" xfId="2" applyNumberFormat="1" applyFont="1" applyBorder="1" applyAlignment="1">
      <x:alignment horizontal="left" vertical="center" shrinkToFit="1"/>
    </x:xf>
    <x:xf numFmtId="0" fontId="76" fillId="0" borderId="86" xfId="2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72" fontId="76" fillId="0" borderId="87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87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70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70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14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14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6" fillId="0" borderId="92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6" fillId="0" borderId="92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6" fillId="0" borderId="70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6" fillId="0" borderId="70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6" fillId="0" borderId="93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6" fillId="0" borderId="93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6" fillId="0" borderId="99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6" fillId="0" borderId="99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6" fillId="0" borderId="70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6" fillId="0" borderId="70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6" fillId="0" borderId="93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6" fillId="0" borderId="93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57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57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57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57" xfId="9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91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91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92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92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6" fillId="0" borderId="99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6" fillId="0" borderId="99" xfId="12" applyNumberFormat="1" applyFont="1" applyFill="1" applyBorder="1" applyAlignment="1">
          <x:alignment horizontal="right" vertical="center" shrinkToFit="1"/>
        </x:xf>
      </mc:Fallback>
    </mc:AlternateContent>
    <x:xf numFmtId="0" fontId="76" fillId="0" borderId="91" xfId="2" applyNumberFormat="1" applyFont="1" applyBorder="1" applyAlignment="1">
      <x:alignment horizontal="left" vertical="center" shrinkToFit="1"/>
    </x:xf>
    <x:xf numFmtId="0" fontId="75" fillId="0" borderId="86" xfId="2" applyNumberFormat="1" applyFont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73" fontId="76" fillId="0" borderId="100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6" fillId="0" borderId="100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6" fillId="0" borderId="40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6" fillId="0" borderId="40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6" fillId="0" borderId="101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6" fillId="0" borderId="101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6" fillId="0" borderId="68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6" fillId="0" borderId="68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6" fillId="0" borderId="40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6" fillId="0" borderId="40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6" fillId="0" borderId="101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6" fillId="0" borderId="101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03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03" xfId="8" applyNumberFormat="1" applyFont="1" applyFill="1" applyBorder="1" applyAlignment="1">
          <x:alignment horizontal="right" vertical="center" shrinkToFit="1"/>
        </x:xf>
      </mc:Fallback>
    </mc:AlternateContent>
    <x:xf numFmtId="0" fontId="76" fillId="0" borderId="86" xfId="2" applyNumberFormat="1" applyFont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72" fontId="75" fillId="0" borderId="94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94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95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95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15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15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5" fillId="0" borderId="116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5" fillId="0" borderId="116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5" fillId="0" borderId="117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5" fillId="0" borderId="117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5" fillId="0" borderId="118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5" fillId="0" borderId="118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5" fillId="0" borderId="119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5" fillId="0" borderId="119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5" fillId="0" borderId="118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5" fillId="0" borderId="118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4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4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0" borderId="1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17" xfId="2" applyNumberFormat="1" applyFont="1" applyFill="1" applyBorder="1" applyAlignment="1">
          <x:alignment horizontal="center" vertical="center" shrinkToFit="1"/>
        </x:xf>
      </mc:Fallback>
    </mc:AlternateContent>
    <x:xf numFmtId="41" fontId="6" fillId="0" borderId="0" xfId="2" applyNumberFormat="1" applyAlignment="1">
      <x:alignment horizontal="general" vertical="center"/>
    </x:xf>
    <x:xf numFmtId="0" fontId="75" fillId="0" borderId="86" xfId="2" applyNumberFormat="1" applyFont="1" applyBorder="1" applyAlignment="1">
      <x:alignment horizontal="left" vertical="center" wrapText="1" shrinkToFit="1"/>
    </x:xf>
    <x:xf numFmtId="172" fontId="6" fillId="0" borderId="0" xfId="2" applyNumberFormat="1" applyAlignment="1">
      <x:alignment horizontal="general" vertical="center"/>
    </x:xf>
    <x:xf numFmtId="0" fontId="76" fillId="0" borderId="86" xfId="2" quotePrefix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100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00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40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40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20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20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04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04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5" fillId="0" borderId="46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5" fillId="0" borderId="46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21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21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5" fillId="0" borderId="104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5" fillId="0" borderId="104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75" fillId="0" borderId="105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75" fillId="0" borderId="105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5" fillId="0" borderId="36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5" fillId="0" borderId="36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5" fillId="0" borderId="105" xfId="1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5" fillId="0" borderId="105" xfId="1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73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73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0" borderId="7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73" xfId="2" applyNumberFormat="1" applyFont="1" applyFill="1" applyBorder="1" applyAlignment="1">
          <x:alignment horizontal="center" vertical="center" shrinkToFit="1"/>
        </x:xf>
      </mc:Fallback>
    </mc:AlternateContent>
    <x:xf numFmtId="0" fontId="75" fillId="0" borderId="35" xfId="2" applyNumberFormat="1" applyFont="1" applyBorder="1" applyAlignment="1">
      <x:alignment horizontal="left" vertical="center" shrinkToFit="1"/>
    </x:xf>
    <x:xf numFmtId="0" fontId="76" fillId="0" borderId="79" xfId="2" applyNumberFormat="1" applyFont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122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22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23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23" xfId="8" applyNumberFormat="1" applyFont="1" applyFill="1" applyBorder="1" applyAlignment="1">
          <x:alignment horizontal="right" vertical="center" shrinkToFit="1"/>
        </x:xf>
      </mc:Fallback>
    </mc:AlternateContent>
    <x:xf numFmtId="0" fontId="76" fillId="0" borderId="113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93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93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99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99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5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5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12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124" xfId="2" applyNumberFormat="1" applyFont="1" applyFill="1" applyBorder="1" applyAlignment="1">
          <x:alignment horizontal="center" vertical="center" shrinkToFit="1"/>
        </x:xf>
      </mc:Fallback>
    </mc:AlternateContent>
    <x:xf numFmtId="0" fontId="76" fillId="0" borderId="124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101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01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68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68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69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69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1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1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17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17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18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18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19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19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7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7" xfId="8" applyNumberFormat="1" applyFont="1" applyFill="1" applyBorder="1" applyAlignment="1">
          <x:alignment horizontal="right" vertical="center" shrinkToFit="1"/>
        </x:xf>
      </mc:Fallback>
    </mc:AlternateContent>
    <x:xf numFmtId="0" fontId="76" fillId="0" borderId="69" xfId="2" applyNumberFormat="1" applyFont="1" applyBorder="1" applyAlignment="1">
      <x:alignment horizontal="left" vertical="center" shrinkToFit="1"/>
    </x:xf>
    <x:xf numFmtId="0" fontId="76" fillId="0" borderId="91" xfId="2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6" fillId="0" borderId="10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103" xfId="2" applyNumberFormat="1" applyFont="1" applyFill="1" applyBorder="1" applyAlignment="1">
          <x:alignment horizontal="center" vertical="center" shrinkToFit="1"/>
        </x:xf>
      </mc:Fallback>
    </mc:AlternateContent>
    <x:xf numFmtId="0" fontId="75" fillId="0" borderId="77" xfId="2" quotePrefix="1" applyNumberFormat="1" applyFont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72" fontId="75" fillId="0" borderId="4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4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05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05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3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36" xfId="8" applyNumberFormat="1" applyFont="1" applyFill="1" applyBorder="1" applyAlignment="1">
          <x:alignment horizontal="right" vertical="center" shrinkToFit="1"/>
        </x:xf>
      </mc:Fallback>
    </mc:AlternateContent>
    <x:xf numFmtId="0" fontId="75" fillId="0" borderId="45" xfId="2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6" fillId="0" borderId="84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84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85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85" xfId="2" applyNumberFormat="1" applyFont="1" applyBorder="1" applyAlignment="1">
          <x:alignment horizontal="center" vertical="center" shrinkToFit="1"/>
        </x:xf>
      </mc:Fallback>
    </mc:AlternateContent>
    <x:xf numFmtId="0" fontId="76" fillId="0" borderId="86" xfId="2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6" fillId="0" borderId="90" xfId="2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90" xfId="2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57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57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103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103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0" borderId="17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17" xfId="2" applyNumberFormat="1" applyFont="1" applyBorder="1" applyAlignment="1">
          <x:alignment horizontal="center" vertical="center" shrinkToFit="1"/>
        </x:xf>
      </mc:Fallback>
    </mc:AlternateContent>
    <x:xf numFmtId="0" fontId="76" fillId="0" borderId="86" xfId="2" quotePrefix="1" applyNumberFormat="1" applyFont="1" applyBorder="1" applyAlignment="1">
      <x:alignment horizontal="left" vertical="center" wrapText="1"/>
    </x:xf>
    <x:xf numFmtId="0" fontId="76" fillId="0" borderId="77" xfId="2" quotePrefix="1" applyNumberFormat="1" applyFont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172" fontId="75" fillId="0" borderId="125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25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27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27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2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2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53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53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27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27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0" borderId="128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128" xfId="2" applyNumberFormat="1" applyFont="1" applyBorder="1" applyAlignment="1">
          <x:alignment horizontal="center" vertical="center" shrinkToFit="1"/>
        </x:xf>
      </mc:Fallback>
    </mc:AlternateContent>
    <x:xf numFmtId="0" fontId="76" fillId="0" borderId="79" xfId="2" applyNumberFormat="1" applyFont="1" applyBorder="1" applyAlignment="1">
      <x:alignment horizontal="general" vertical="center" wrapText="1" shrinkToFit="1"/>
    </x:xf>
    <x:xf numFmtId="0" fontId="76" fillId="0" borderId="86" xfId="2" quotePrefix="1" applyNumberFormat="1" applyFont="1" applyBorder="1" applyAlignment="1">
      <x:alignment horizontal="general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76" fillId="0" borderId="90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90" xfId="2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103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103" xfId="9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1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1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17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17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18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18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19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19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5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5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0" borderId="4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4" xfId="9" applyNumberFormat="1" applyFont="1" applyBorder="1" applyAlignment="1">
          <x:alignment horizontal="center" vertical="center" shrinkToFit="1"/>
        </x:xf>
      </mc:Fallback>
    </mc:AlternateContent>
    <x:xf numFmtId="0" fontId="75" fillId="0" borderId="91" xfId="2" applyNumberFormat="1" applyFont="1" applyBorder="1" applyAlignment="1">
      <x:alignment horizontal="left" vertical="center" shrinkToFit="1"/>
    </x:xf>
    <x:xf numFmtId="0" fontId="75" fillId="0" borderId="77" xfId="2" quotePrefix="1" applyNumberFormat="1" applyFont="1" applyBorder="1" applyAlignment="1">
      <x:alignment horizontal="general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75" fillId="0" borderId="73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73" xfId="2" applyNumberFormat="1" applyFont="1" applyBorder="1" applyAlignment="1">
          <x:alignment horizontal="center" vertical="center" shrinkToFit="1"/>
        </x:xf>
      </mc:Fallback>
    </mc:AlternateContent>
    <x:xf numFmtId="0" fontId="78" fillId="0" borderId="0" xfId="2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2" fontId="76" fillId="0" borderId="122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22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09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09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11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11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12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12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76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76" xfId="2" applyNumberFormat="1" applyFont="1" applyBorder="1" applyAlignment="1">
          <x:alignment horizontal="center" vertical="center" shrinkToFit="1"/>
        </x:xf>
      </mc:Fallback>
    </mc:AlternateContent>
    <x:xf numFmtId="0" fontId="79" fillId="0" borderId="91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2" fontId="76" fillId="0" borderId="123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23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0" borderId="73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73" xfId="9" applyNumberFormat="1" applyFont="1" applyBorder="1" applyAlignment="1">
          <x:alignment horizontal="center" vertical="center" shrinkToFit="1"/>
        </x:xf>
      </mc:Fallback>
    </mc:AlternateContent>
    <x:xf numFmtId="0" fontId="76" fillId="0" borderId="129" xfId="9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6" fillId="0" borderId="109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109" xfId="2" applyNumberFormat="1" applyFont="1" applyBorder="1" applyAlignment="1">
          <x:alignment horizontal="center" vertical="center" shrinkToFit="1"/>
        </x:xf>
      </mc:Fallback>
    </mc:AlternateContent>
    <x:xf numFmtId="0" fontId="76" fillId="0" borderId="130" xfId="9" applyNumberFormat="1" applyFont="1" applyBorder="1" applyAlignment="1">
      <x:alignment horizontal="left" vertical="center" shrinkToFit="1"/>
    </x:xf>
    <x:xf numFmtId="0" fontId="76" fillId="0" borderId="131" xfId="2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6" fillId="0" borderId="70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70" xfId="9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69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69" xfId="9" applyNumberFormat="1" applyFont="1" applyBorder="1" applyAlignment="1">
          <x:alignment horizontal="center" vertical="center" shrinkToFit="1"/>
        </x:xf>
      </mc:Fallback>
    </mc:AlternateContent>
    <x:xf numFmtId="0" fontId="76" fillId="10" borderId="131" xfId="2" applyNumberFormat="1" applyFont="1" applyFill="1" applyBorder="1" applyAlignment="1">
      <x:alignment horizontal="general" vertical="center" shrinkToFit="1"/>
    </x:xf>
    <x:xf numFmtId="0" fontId="76" fillId="0" borderId="69" xfId="9" applyNumberFormat="1" applyFont="1" applyBorder="1" applyAlignment="1">
      <x:alignment horizontal="left" vertical="center" shrinkToFit="1"/>
    </x:xf>
    <x:xf numFmtId="0" fontId="76" fillId="10" borderId="131" xfId="2" applyNumberFormat="1" applyFont="1" applyFill="1" applyBorder="1" applyAlignment="1">
      <x:alignment horizontal="general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75" fillId="0" borderId="95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95" xfId="2" applyNumberFormat="1" applyFont="1" applyBorder="1" applyAlignment="1">
          <x:alignment horizontal="center" vertical="center" shrinkToFit="1"/>
        </x:xf>
      </mc:Fallback>
    </mc:AlternateContent>
    <x:xf numFmtId="0" fontId="76" fillId="10" borderId="91" xfId="9" applyNumberFormat="1" applyFont="1" applyFill="1" applyBorder="1" applyAlignment="1" applyProtection="1">
      <x:alignment horizontal="general" vertical="center" shrinkToFit="1"/>
      <x:protection locked="0"/>
    </x:xf>
    <x:xf numFmtId="0" fontId="75" fillId="10" borderId="131" xfId="2" quotePrefix="1" applyNumberFormat="1" applyFont="1" applyFill="1" applyBorder="1" applyAlignment="1">
      <x:alignment horizontal="general" vertical="center" wrapText="1" shrinkToFit="1"/>
    </x:xf>
    <x:xf numFmtId="0" fontId="76" fillId="10" borderId="91" xfId="9" applyNumberFormat="1" applyFont="1" applyFill="1" applyBorder="1" applyAlignment="1" applyProtection="1">
      <x:alignment horizontal="left" vertical="center" shrinkToFit="1"/>
      <x:protection locked="0"/>
    </x:xf>
    <x:xf numFmtId="0" fontId="76" fillId="10" borderId="131" xfId="2" quotePrefix="1" applyNumberFormat="1" applyFont="1" applyFill="1" applyBorder="1" applyAlignment="1">
      <x:alignment horizontal="general" vertical="center" wrapText="1" shrinkToFit="1"/>
    </x:xf>
    <x:xf numFmtId="0" fontId="76" fillId="0" borderId="131" xfId="2" quotePrefix="1" applyNumberFormat="1" applyFont="1" applyFill="1" applyBorder="1" applyAlignment="1">
      <x:alignment horizontal="general" vertical="center" shrinkToFit="1"/>
    </x:xf>
    <x:xf numFmtId="0" fontId="75" fillId="0" borderId="74" xfId="9" quotePrefix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5" fillId="0" borderId="27" xfId="2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27" xfId="2" applyNumberFormat="1" applyFont="1" applyBorder="1" applyAlignment="1">
          <x:alignment horizontal="center" vertical="center" shrinkToFit="1"/>
        </x:xf>
      </mc:Fallback>
    </mc:AlternateContent>
    <x:xf numFmtId="0" fontId="75" fillId="0" borderId="45" xfId="2" applyNumberFormat="1" applyFont="1" applyBorder="1" applyAlignment="1">
      <x:alignment horizontal="left" vertical="center" shrinkToFit="1"/>
    </x:xf>
    <x:xf numFmtId="0" fontId="76" fillId="0" borderId="79" xfId="9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6" fillId="0" borderId="7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76" xfId="2" applyNumberFormat="1" applyFont="1" applyFill="1" applyBorder="1" applyAlignment="1">
          <x:alignment horizontal="center" vertical="center" shrinkToFit="1"/>
        </x:xf>
      </mc:Fallback>
    </mc:AlternateContent>
    <x:xf numFmtId="0" fontId="76" fillId="0" borderId="85" xfId="9" applyNumberFormat="1" applyFont="1" applyBorder="1" applyAlignment="1">
      <x:alignment horizontal="left" vertical="center" shrinkToFit="1"/>
    </x:xf>
    <x:xf numFmtId="0" fontId="76" fillId="0" borderId="86" xfId="2" quotePrefix="1" applyNumberFormat="1" applyFont="1" applyFill="1" applyBorder="1" applyAlignment="1">
      <x:alignment horizontal="general" vertical="center" shrinkToFit="1"/>
    </x:xf>
    <x:xf numFmtId="0" fontId="76" fillId="0" borderId="91" xfId="9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6" fillId="0" borderId="91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91" xfId="9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32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32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48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48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2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2" xfId="9" applyNumberFormat="1" applyFont="1" applyBorder="1" applyAlignment="1">
          <x:alignment horizontal="center" vertical="center" shrinkToFit="1"/>
        </x:xf>
      </mc:Fallback>
    </mc:AlternateContent>
    <x:xf numFmtId="0" fontId="75" fillId="0" borderId="77" xfId="9" quotePrefix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5" fillId="0" borderId="12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128" xfId="2" applyNumberFormat="1" applyFont="1" applyFill="1" applyBorder="1" applyAlignment="1">
          <x:alignment horizontal="center" vertical="center" shrinkToFit="1"/>
        </x:xf>
      </mc:Fallback>
    </mc:AlternateContent>
    <x:xf numFmtId="0" fontId="75" fillId="0" borderId="35" xfId="1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6" fillId="0" borderId="90" xfId="9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90" xfId="9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33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33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34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34" xfId="8" applyNumberFormat="1" applyFont="1" applyFill="1" applyBorder="1" applyAlignment="1">
          <x:alignment horizontal="right" vertical="center" shrinkToFit="1"/>
        </x:xf>
      </mc:Fallback>
    </mc:AlternateContent>
    <x:xf numFmtId="0" fontId="76" fillId="0" borderId="86" xfId="9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11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1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17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17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18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18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5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5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4" xfId="2" applyNumberFormat="1" applyFont="1" applyFill="1" applyBorder="1" applyAlignment="1">
          <x:alignment horizontal="center" vertical="center" shrinkToFit="1"/>
        </x:xf>
      </mc:Fallback>
    </mc:AlternateContent>
    <x:xf numFmtId="0" fontId="75" fillId="0" borderId="86" xfId="9" quotePrefix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75" fillId="0" borderId="133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33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48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48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32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32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34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34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0" borderId="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2" xfId="2" applyNumberFormat="1" applyFont="1" applyFill="1" applyBorder="1" applyAlignment="1">
          <x:alignment horizontal="center" vertical="center" shrinkToFit="1"/>
        </x:xf>
      </mc:Fallback>
    </mc:AlternateContent>
    <x:xf numFmtId="0" fontId="75" fillId="0" borderId="91" xfId="11" applyNumberFormat="1" applyFont="1" applyBorder="1" applyAlignment="1">
      <x:alignment horizontal="left" vertical="center" shrinkToFit="1"/>
    </x:xf>
    <x:xf numFmtId="0" fontId="80" fillId="0" borderId="86" xfId="2" quotePrefix="1" applyNumberFormat="1" applyFont="1" applyFill="1" applyBorder="1" applyAlignment="1">
      <x:alignment horizontal="general" vertical="center" shrinkToFit="1"/>
    </x:xf>
    <x:xf numFmtId="0" fontId="76" fillId="0" borderId="86" xfId="9" quotePrefix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76" fillId="0" borderId="87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87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92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92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35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35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94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94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136" xfId="8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136" xfId="8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22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22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09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09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11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11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112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112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6" fillId="0" borderId="8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8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93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93" xfId="3" applyNumberFormat="1" applyFont="1" applyFill="1" applyBorder="1" applyAlignment="1">
          <x:alignment horizontal="right" vertical="center" shrinkToFit="1"/>
        </x:xf>
      </mc:Fallback>
    </mc:AlternateContent>
    <x:xf numFmtId="0" fontId="76" fillId="0" borderId="91" xfId="6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72" fontId="75" fillId="0" borderId="95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95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96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96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5" fillId="0" borderId="98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5" fillId="0" borderId="98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88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88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89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89" xfId="3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76" fillId="0" borderId="49" xfId="3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76" fillId="0" borderId="49" xfId="3" applyNumberFormat="1" applyFont="1" applyFill="1" applyBorder="1" applyAlignment="1">
          <x:alignment horizontal="right" vertical="center" shrinkToFit="1"/>
        </x:xf>
      </mc:Fallback>
    </mc:AlternateContent>
    <x:xf numFmtId="0" fontId="76" fillId="0" borderId="86" xfId="2" quotePrefix="1" applyNumberFormat="1" applyFont="1" applyFill="1" applyBorder="1" applyAlignment="1">
      <x:alignment horizontal="general" vertical="center" wrapText="1" shrinkToFit="1"/>
    </x:xf>
    <x:xf numFmtId="0" fontId="75" fillId="0" borderId="137" xfId="6" quotePrefix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5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0" borderId="4" xfId="2" applyNumberFormat="1" applyFont="1" applyFill="1" applyBorder="1" applyAlignment="1">
          <x:alignment horizontal="center" vertical="center" shrinkToFit="1"/>
        </x:xf>
      </mc:Fallback>
    </mc:AlternateContent>
    <x:xf numFmtId="0" fontId="75" fillId="0" borderId="138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5" fillId="23" borderId="9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9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23" borderId="7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7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23" borderId="9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9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23" borderId="92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92" xfId="2" applyNumberFormat="1" applyFont="1" applyFill="1" applyBorder="1" applyAlignment="1">
          <x:alignment horizontal="center" vertical="center" wrapText="1" shrinkToFit="1"/>
        </x:xf>
      </mc:Fallback>
    </mc:AlternateContent>
    <x:xf numFmtId="0" fontId="6" fillId="0" borderId="0" xfId="2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6" fillId="0" borderId="0" xfId="2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6" fillId="0" borderId="0" xfId="2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24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24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24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24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2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24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2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24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3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3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9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9" fillId="8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1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1" fillId="8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9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9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24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24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24" borderId="9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24" borderId="9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5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5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5" borderId="1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5" borderId="1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5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5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6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6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6" borderId="13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6" borderId="13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6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6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5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5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5" borderId="1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5" borderId="1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5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5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3" fillId="0" borderId="0" xfId="0" applyNumberFormat="1" applyFont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3" fillId="0" borderId="0" xfId="0" applyNumberFormat="1" applyFont="1" applyBorder="1" applyAlignment="1" applyProtection="1">
          <x:alignment horizontal="center" vertical="center" wrapText="1" shrinkToFit="1"/>
        </x:xf>
      </mc:Fallback>
    </mc:AlternateContent>
    <x:xf numFmtId="0" fontId="74" fillId="0" borderId="0" xfId="0" applyNumberFormat="1" applyFont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5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7" fillId="0" borderId="1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7" fillId="0" borderId="1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7" fillId="0" borderId="1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7" fillId="0" borderId="1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7" fillId="0" borderId="1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7" fillId="0" borderId="142" xfId="0" applyNumberFormat="1" applyFont="1" applyBorder="1" applyAlignment="1">
          <x:alignment horizontal="center" vertical="center"/>
        </x:xf>
      </mc:Fallback>
    </mc:AlternateContent>
    <x:xf numFmtId="0" fontId="32" fillId="0" borderId="4" xfId="0" applyNumberFormat="1" applyFont="1" applyBorder="1" applyAlignment="1">
      <x:alignment horizontal="left" vertical="center" wrapText="1"/>
    </x:xf>
    <x:xf numFmtId="0" fontId="32" fillId="0" borderId="9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50" fillId="5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5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5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5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5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5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8" fillId="7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8" fillId="7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8" fillId="7" borderId="1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8" fillId="7" borderId="1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8" fillId="7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8" fillId="7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9" fillId="7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9" fillId="7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9" fillId="7" borderId="1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9" fillId="7" borderId="1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9" fillId="7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9" fillId="7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8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8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8" borderId="9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8" borderId="9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8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8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8" borderId="1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8" borderId="1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8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8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59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59" fillId="8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1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1" fillId="8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6" fillId="0" borderId="6" xfId="0" applyNumberFormat="1" applyFont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6" fillId="0" borderId="6" xfId="0" applyNumberFormat="1" applyFont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6" fillId="0" borderId="9" xfId="0" applyNumberFormat="1" applyFont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6" fillId="0" borderId="9" xfId="0" applyNumberFormat="1" applyFont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3" fillId="0" borderId="0" xfId="0" applyNumberFormat="1" applyFont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3" fillId="0" borderId="0" xfId="0" applyNumberFormat="1" applyFont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24" borderId="5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24" borderId="5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1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1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9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9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9" fillId="7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9" fillId="7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9" fillId="7" borderId="1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9" fillId="7" borderId="1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9" fillId="7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9" fillId="7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9" fillId="8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9" fillId="8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9" fillId="8" borderId="1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9" fillId="8" borderId="1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9" fillId="8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9" fillId="8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1" fillId="8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1" fillId="8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1" fillId="8" borderId="1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1" fillId="8" borderId="1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1" fillId="8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1" fillId="8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8" fillId="7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8" fillId="7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8" fillId="7" borderId="1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8" fillId="7" borderId="1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8" fillId="7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8" fillId="7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4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4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57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57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90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90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5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5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24" borderId="9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24" borderId="9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3" fillId="0" borderId="0" xfId="0" applyNumberFormat="1" applyFont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53" fillId="4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9" xfId="0" applyNumberFormat="1" applyFont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9" xfId="0" applyNumberFormat="1" applyFont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4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4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13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13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1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1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4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4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6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6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6" borderId="1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6" borderId="1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6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6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1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1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1" borderId="1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1" borderId="1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11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11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0" fillId="8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0" fillId="8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5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5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0" fillId="8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0" fillId="8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0" fillId="8" borderId="13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0" fillId="8" borderId="13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0" fillId="8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0" fillId="8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2" fillId="5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2" fillId="5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2" fillId="5" borderId="1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2" fillId="5" borderId="1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2" fillId="5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2" fillId="5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2" fillId="16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2" fillId="16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2" fillId="16" borderId="1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2" fillId="16" borderId="1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2" fillId="16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2" fillId="16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1" fillId="8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1" fillId="8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1" fillId="8" borderId="13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1" fillId="8" borderId="13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1" fillId="8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1" fillId="8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2" fillId="8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2" fillId="8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2" fillId="8" borderId="13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2" fillId="8" borderId="13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2" fillId="8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2" fillId="8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14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14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8" borderId="14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8" borderId="14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3" fillId="0" borderId="49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3" fillId="0" borderId="49" xfId="0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23" borderId="14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14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23" borderId="12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12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23" borderId="13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13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3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3" fillId="0" borderId="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23" borderId="3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3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23" borderId="9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9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23" borderId="7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73" xfId="2" applyNumberFormat="1" applyFont="1" applyFill="1" applyBorder="1" applyAlignment="1">
          <x:alignment horizontal="center" vertical="center" wrapText="1"/>
        </x:xf>
      </mc:Fallback>
    </mc:AlternateContent>
    <x:xf numFmtId="0" fontId="75" fillId="23" borderId="57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5" fillId="23" borderId="10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106" xfId="2" applyNumberFormat="1" applyFont="1" applyFill="1" applyBorder="1" applyAlignment="1">
          <x:alignment horizontal="center" vertical="center"/>
        </x:xf>
      </mc:Fallback>
    </mc:AlternateContent>
    <x:xf numFmtId="0" fontId="75" fillId="23" borderId="0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5" fillId="23" borderId="10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105" xfId="2" applyNumberFormat="1" applyFont="1" applyFill="1" applyBorder="1" applyAlignment="1">
          <x:alignment horizontal="center" vertical="center"/>
        </x:xf>
      </mc:Fallback>
    </mc:AlternateContent>
    <x:xf numFmtId="0" fontId="75" fillId="23" borderId="93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5" fillId="23" borderId="4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46" xfId="2" applyNumberFormat="1" applyFont="1" applyFill="1" applyBorder="1" applyAlignment="1">
          <x:alignment horizontal="center" vertical="center"/>
        </x:xf>
      </mc:Fallback>
    </mc:AlternateContent>
    <x:xf numFmtId="0" fontId="75" fillId="23" borderId="70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5" fillId="23" borderId="10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104" xfId="2" applyNumberFormat="1" applyFont="1" applyFill="1" applyBorder="1" applyAlignment="1">
          <x:alignment horizontal="center" vertical="center"/>
        </x:xf>
      </mc:Fallback>
    </mc:AlternateContent>
    <x:xf numFmtId="0" fontId="75" fillId="23" borderId="92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5" fillId="23" borderId="7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7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5" fillId="23" borderId="14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5" fillId="23" borderId="14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9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9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2" fillId="6" borderId="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2" fillId="6" borderId="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2" fillId="6" borderId="9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2" fillId="6" borderId="9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9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9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2" fillId="7" borderId="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2" fillId="7" borderId="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2" fillId="7" borderId="9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2" fillId="7" borderId="9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4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4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6" fillId="19" borderId="1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19" borderId="1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6" fillId="19" borderId="1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6" fillId="19" borderId="1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0" fillId="0" borderId="49" xfId="0" applyNumberFormat="1" applyFont="1" applyBorder="1" applyAlignment="1">
          <x:alignment horizontal="center" vertical="center"/>
        </x:xf>
      </mc:Fallback>
    </mc:AlternateContent>
  </x:cellXfs>
  <x:cellStyles count="13">
    <x:cellStyle name="표준" xfId="0" builtinId="0"/>
    <x:cellStyle name="쉼표 [0]" xfId="1" builtinId="6"/>
    <x:cellStyle name="표준 2" xfId="2"/>
    <x:cellStyle name="쉼표 [0] 10" xfId="3"/>
    <x:cellStyle name="표준 5 2 2" xfId="4"/>
    <x:cellStyle name="표준 4 8 2" xfId="5"/>
    <x:cellStyle name="표준 2 6 2" xfId="6"/>
    <x:cellStyle name="표준 20 2" xfId="7"/>
    <x:cellStyle name="쉼표 [0] 10 2 2 2 2" xfId="8"/>
    <x:cellStyle name="표준 2 6 2 2" xfId="9"/>
    <x:cellStyle name="나쁨" xfId="10" builtinId="27"/>
    <x:cellStyle name="표준 2 3 4" xfId="11"/>
    <x:cellStyle name="쉼표 [0] 3 11" xfId="12"/>
  </x:cellStyles>
  <x:dxfs count="1191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70c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x:dxf>
      <x:fill>
        <x:patternFill>
          <x:bgColor rgb="ffffff99"/>
        </x:patternFill>
      </x:fill>
    </x:dxf>
    <x:dxf>
      <x:fill>
        <x:patternFill>
          <x:bgColor rgb="ffffff9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x:dxf>
      <x:fill>
        <x:patternFill>
          <x:bgColor rgb="ffffff99"/>
        </x:patternFill>
      </x:fill>
    </x:dxf>
    <x:dxf>
      <x:fill>
        <x:patternFill>
          <x:bgColor rgb="ffffff9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x:dxf>
      <x:fill>
        <x:patternFill>
          <x:bgColor rgb="ffddebf7"/>
        </x:patternFill>
      </x:fill>
    </x:dxf>
    <x:dxf>
      <x:fill>
        <x:patternFill>
          <x:bgColor rgb="fffbe5d7"/>
        </x:patternFill>
      </x:fill>
    </x:dxf>
    <x:dxf>
      <x:fill>
        <x:patternFill>
          <x:bgColor rgb="ffffff99"/>
        </x:patternFill>
      </x:fill>
    </x:dxf>
    <x:dxf>
      <x:fill>
        <x:patternFill>
          <x:bgColor rgb="ffffff99"/>
        </x:patternFill>
      </x:fill>
    </x:dxf>
    <x:dxf>
      <x:fill>
        <x:patternFill>
          <x:bgColor rgb="ffddebf7"/>
        </x:patternFill>
      </x:fill>
    </x:dxf>
    <x:dxf>
      <x:fill>
        <x:patternFill>
          <x:bgColor rgb="fffbe5d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x:dxf>
      <x:fill>
        <x:patternFill>
          <x:bgColor rgb="ffffff99"/>
        </x:patternFill>
      </x:fill>
    </x:dxf>
    <x:dxf>
      <x:fill>
        <x:patternFill>
          <x:bgColor rgb="ffffff9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x:dxf>
      <x:fill>
        <x:patternFill>
          <x:bgColor rgb="ffddebf7"/>
        </x:patternFill>
      </x:fill>
    </x:dxf>
    <x:dxf>
      <x:fill>
        <x:patternFill>
          <x:bgColor rgb="ffddebf7"/>
        </x:patternFill>
      </x:fill>
    </x:dxf>
    <x:dxf>
      <x:fill>
        <x:patternFill>
          <x:bgColor rgb="fffbe5d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x:dxf>
      <x:fill>
        <x:patternFill>
          <x:bgColor rgb="fffbe5d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0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0"/>
            <x:i val="1"/>
          </x:font>
        </x:dxf>
      </mc:Fallback>
    </mc:AlternateContent>
    <x:dxf>
      <x:fill>
        <x:patternFill>
          <x:bgColor rgb="ffffff99"/>
        </x:patternFill>
      </x:fill>
    </x:dxf>
    <x:dxf>
      <x:fill>
        <x:patternFill>
          <x:bgColor rgb="ffddebf7"/>
        </x:patternFill>
      </x:fill>
    </x:dxf>
    <x:dxf>
      <x:fill>
        <x:patternFill>
          <x:bgColor rgb="ffddebf7"/>
        </x:patternFill>
      </x:fill>
    </x:dxf>
    <x:dxf>
      <x:fill>
        <x:patternFill>
          <x:bgColor rgb="fffbe5d7"/>
        </x:patternFill>
      </x:fill>
    </x:dxf>
    <x:dxf>
      <x:fill>
        <x:patternFill>
          <x:bgColor rgb="fffbe5d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x:i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  <x:i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>
              <x:bgColor rgb="ffffff9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70c0"/>
            <x:b val="0"/>
            <x:i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ffff99"/>
            </x:patternFill>
          </x:fill>
        </x:dxf>
      </mc:Choice>
      <mc:Fallback>
        <x:dxf>
          <x:font>
            <x:color rgb="ff0070c0"/>
            <x:b val="0"/>
            <x:i val="1"/>
          </x:font>
          <x:fill>
            <x:patternFill patternType="solid">
              <x:bgColor rgb="ffffff99"/>
            </x:patternFill>
          </x:fill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4</xdr:col>
      <xdr:colOff>266700</xdr:colOff>
      <xdr:row>7</xdr:row>
      <xdr:rowOff>476250</xdr:rowOff>
    </xdr:from>
    <xdr:to>
      <xdr:col>9</xdr:col>
      <xdr:colOff>85724</xdr:colOff>
      <xdr:row>10</xdr:row>
      <xdr:rowOff>352425</xdr:rowOff>
    </xdr:to>
    <xdr:pic macro="" fPublished="0">
      <xdr:nvPicPr>
        <xdr:cNvPr id="2" name="_x391271272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2907195" y="4166152"/>
          <a:ext cx="1880152" cy="1391478"/>
        </a:xfrm>
        <a:prstGeom prst="rect">
          <a:avLst/>
        </a:prstGeom>
        <a:noFill/>
      </xdr:spPr>
    </xdr:pic>
    <xdr:clientData fLocksWithSheet="1" fPrintsWithSheet="1"/>
  </xdr:twoCellAnchor>
</xdr:wsDr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4</xdr:col>
      <xdr:colOff>161925</xdr:colOff>
      <xdr:row>7</xdr:row>
      <xdr:rowOff>476250</xdr:rowOff>
    </xdr:from>
    <xdr:to>
      <xdr:col>8</xdr:col>
      <xdr:colOff>666750</xdr:colOff>
      <xdr:row>10</xdr:row>
      <xdr:rowOff>352425</xdr:rowOff>
    </xdr:to>
    <xdr:pic macro="" fPublished="0">
      <xdr:nvPicPr>
        <xdr:cNvPr id="2" name="_x391271272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2790264" y="4157382"/>
          <a:ext cx="1871382" cy="1389529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7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3.vml"  /><Relationship Id="rId2" Type="http://schemas.openxmlformats.org/officeDocument/2006/relationships/comments" Target="../comments3.xml"  /></Relationships>
</file>

<file path=xl/worksheets/_rels/sheet8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4.vml"  /><Relationship Id="rId2" Type="http://schemas.openxmlformats.org/officeDocument/2006/relationships/comments" Target="../comments4.xml"  /></Relationships>
</file>

<file path=xl/worksheets/_rels/sheet9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5.vml"  /><Relationship Id="rId2" Type="http://schemas.openxmlformats.org/officeDocument/2006/relationships/comments" Target="../comments5.xml"  /></Relationships>
</file>

<file path=xl/worksheets/_rels/sheet10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6.vml"  /><Relationship Id="rId2" Type="http://schemas.openxmlformats.org/officeDocument/2006/relationships/comments" Target="../comments6.xml"  /></Relationships>
</file>

<file path=xl/worksheets/_rels/sheet1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7.vml"  /><Relationship Id="rId2" Type="http://schemas.openxmlformats.org/officeDocument/2006/relationships/comments" Target="../comments7.xml"  /></Relationships>
</file>

<file path=xl/worksheets/_rels/sheet1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8.vml"  /><Relationship Id="rId2" Type="http://schemas.openxmlformats.org/officeDocument/2006/relationships/comments" Target="../comments8.xml"  /></Relationships>
</file>

<file path=xl/worksheets/_rels/sheet13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9.vml"  /><Relationship Id="rId2" Type="http://schemas.openxmlformats.org/officeDocument/2006/relationships/comments" Target="../comments9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92d050"/>
    <x:pageSetUpPr autoPageBreaks="1" fitToPage="1"/>
  </x:sheetPr>
  <x:dimension ref="A1:Z478"/>
  <x:sheetViews>
    <x:sheetView tabSelected="1" view="pageBreakPreview" topLeftCell="A1" zoomScale="115" zoomScaleNormal="100" zoomScaleSheetLayoutView="115" workbookViewId="0">
      <x:selection activeCell="A5" activeCellId="0" sqref="A5:M5"/>
    </x:sheetView>
  </x:sheetViews>
  <x:sheetFormatPr defaultColWidth="9.00390625" defaultRowHeight="30" customHeight="1"/>
  <x:cols>
    <x:col min="1" max="1" width="7.625" style="1" customWidth="1"/>
    <x:col min="6" max="7" width="0" style="1" hidden="1" customWidth="1"/>
    <x:col min="11" max="11" width="20.125" style="1" customWidth="1"/>
    <x:col min="17" max="18" width="20" style="1" customWidth="1"/>
    <x:col min="20" max="20" width="40.625" style="1" customWidth="1"/>
  </x:cols>
  <x:sheetData>
    <x:row r="1" spans="1:16" ht="39.950000000000003" customHeight="1">
      <x:c r="A1" s="3"/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P1" s="73"/>
    </x:row>
    <x:row r="2" spans="1:26" ht="39.75" customHeight="1">
      <x:c r="A2" s="3"/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  <x:c r="O2" s="75"/>
      <x:c r="T2" s="916"/>
      <x:c r="U2" s="1" t="s">
        <x:v>1513</x:v>
      </x:c>
      <x:c r="Z2" s="185" t="s">
        <x:v>1513</x:v>
      </x:c>
    </x:row>
    <x:row r="3" spans="1:20" ht="24.75" customHeight="1">
      <x:c r="A3" s="3"/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  <x:c r="T3" s="916"/>
    </x:row>
    <x:row r="4" spans="1:13" ht="46.5" customHeight="1">
      <x:c r="A4" s="917" t="s">
        <x:v>86</x:v>
      </x:c>
      <x:c r="B4" s="917"/>
      <x:c r="C4" s="917"/>
      <x:c r="D4" s="917"/>
      <x:c r="E4" s="917"/>
      <x:c r="F4" s="917"/>
      <x:c r="G4" s="917"/>
      <x:c r="H4" s="917"/>
      <x:c r="I4" s="917"/>
      <x:c r="J4" s="917"/>
      <x:c r="K4" s="917"/>
      <x:c r="L4" s="917"/>
      <x:c r="M4" s="917"/>
    </x:row>
    <x:row r="5" spans="1:13" s="4" customFormat="1" ht="60" customHeight="1">
      <x:c r="A5" s="918" t="s">
        <x:v>1554</x:v>
      </x:c>
      <x:c r="B5" s="919"/>
      <x:c r="C5" s="919"/>
      <x:c r="D5" s="919"/>
      <x:c r="E5" s="919"/>
      <x:c r="F5" s="919"/>
      <x:c r="G5" s="919"/>
      <x:c r="H5" s="919"/>
      <x:c r="I5" s="919"/>
      <x:c r="J5" s="919"/>
      <x:c r="K5" s="919"/>
      <x:c r="L5" s="919"/>
      <x:c r="M5" s="919"/>
    </x:row>
    <x:row r="6" spans="1:13" ht="39.950000000000003" customHeight="1">
      <x:c r="A6" s="920"/>
      <x:c r="B6" s="920"/>
      <x:c r="C6" s="920"/>
      <x:c r="D6" s="920"/>
      <x:c r="E6" s="920"/>
      <x:c r="F6" s="920"/>
      <x:c r="G6" s="920"/>
      <x:c r="H6" s="920"/>
      <x:c r="I6" s="920"/>
      <x:c r="J6" s="920"/>
      <x:c r="K6" s="920"/>
      <x:c r="L6" s="920"/>
      <x:c r="M6" s="920"/>
    </x:row>
    <x:row r="7" spans="1:13" ht="39.950000000000003" customHeight="1">
      <x:c r="A7" s="3"/>
      <x:c r="C7" s="25"/>
      <x:c r="D7" s="3"/>
      <x:c r="E7" s="3"/>
      <x:c r="G7" s="3"/>
      <x:c r="H7" s="3"/>
      <x:c r="I7" s="3"/>
      <x:c r="J7" s="3"/>
      <x:c r="K7" s="3"/>
      <x:c r="L7" s="3"/>
      <x:c r="M7" s="3"/>
    </x:row>
    <x:row r="8" spans="1:13" ht="39.950000000000003" customHeight="1">
      <x:c r="A8" s="3"/>
      <x:c r="B8" s="3"/>
      <x:c r="C8" s="3"/>
      <x:c r="D8" s="3"/>
      <x:c r="E8" s="3"/>
      <x:c r="F8" s="3"/>
      <x:c r="G8" s="3"/>
      <x:c r="H8" s="3"/>
      <x:c r="I8" s="3"/>
      <x:c r="J8" s="3"/>
      <x:c r="K8" s="3"/>
      <x:c r="L8" s="3"/>
      <x:c r="M8" s="3"/>
    </x:row>
    <x:row r="9" spans="1:13" ht="39.950000000000003" customHeight="1">
      <x:c r="A9" s="3"/>
      <x:c r="B9" s="3"/>
      <x:c r="C9" s="3"/>
      <x:c r="D9" s="3"/>
      <x:c r="E9" s="3"/>
      <x:c r="F9" s="3"/>
      <x:c r="G9" s="3"/>
      <x:c r="H9" s="3"/>
      <x:c r="I9" s="3"/>
      <x:c r="J9" s="3"/>
      <x:c r="K9" s="3"/>
      <x:c r="L9" s="3"/>
      <x:c r="M9" s="3"/>
    </x:row>
    <x:row r="10" spans="1:13" ht="39.950000000000003" customHeight="1">
      <x:c r="A10" s="3"/>
      <x:c r="B10" s="3"/>
      <x:c r="C10" s="3"/>
      <x:c r="D10" s="3"/>
      <x:c r="E10" s="3"/>
      <x:c r="F10" s="3"/>
      <x:c r="G10" s="3"/>
      <x:c r="H10" s="3"/>
      <x:c r="I10" s="3" t="s">
        <x:v>100</x:v>
      </x:c>
      <x:c r="J10" s="3"/>
      <x:c r="K10" s="3"/>
      <x:c r="L10" s="3"/>
      <x:c r="M10" s="3"/>
    </x:row>
    <x:row r="11" spans="1:13" ht="39.950000000000003" customHeight="1">
      <x:c r="A11" s="3"/>
      <x:c r="B11" s="3"/>
      <x:c r="C11" s="3"/>
      <x:c r="D11" s="3"/>
      <x:c r="E11" s="3"/>
      <x:c r="F11" s="3"/>
      <x:c r="G11" s="3"/>
      <x:c r="H11" s="3"/>
      <x:c r="I11" s="3"/>
      <x:c r="J11" s="3"/>
      <x:c r="K11" s="3"/>
      <x:c r="L11" s="3"/>
      <x:c r="M11" s="3"/>
    </x:row>
    <x:row r="12" spans="1:13" ht="39.950000000000003" customHeight="1">
      <x:c r="A12" s="3"/>
      <x:c r="B12" s="3"/>
      <x:c r="C12" s="3"/>
      <x:c r="D12" s="3"/>
      <x:c r="E12" s="3"/>
      <x:c r="F12" s="3"/>
      <x:c r="G12" s="3"/>
      <x:c r="H12" s="3"/>
      <x:c r="I12" s="3" t="s">
        <x:v>100</x:v>
      </x:c>
      <x:c r="J12" s="3"/>
      <x:c r="K12" s="3"/>
      <x:c r="L12" s="3"/>
      <x:c r="M12" s="3"/>
    </x:row>
    <x:row r="13" spans="1:13" ht="39.950000000000003" customHeight="1">
      <x:c r="A13" s="3"/>
      <x:c r="B13" s="3"/>
      <x:c r="C13" s="3"/>
      <x:c r="D13" s="3"/>
      <x:c r="E13" s="3"/>
      <x:c r="F13" s="3"/>
      <x:c r="G13" s="3"/>
      <x:c r="H13" s="3"/>
      <x:c r="I13" s="3"/>
      <x:c r="J13" s="3"/>
      <x:c r="K13" s="3"/>
      <x:c r="L13" s="3"/>
      <x:c r="M13" s="3"/>
    </x:row>
    <x:row r="14" spans="1:13" ht="39.950000000000003" customHeight="1">
      <x:c r="A14" s="3"/>
      <x:c r="B14" s="3"/>
      <x:c r="C14" s="3"/>
      <x:c r="D14" s="3"/>
      <x:c r="E14" s="3"/>
      <x:c r="F14" s="3"/>
      <x:c r="G14" s="3"/>
      <x:c r="H14" s="3"/>
      <x:c r="I14" s="3"/>
      <x:c r="J14" s="3"/>
      <x:c r="K14" s="3"/>
      <x:c r="L14" s="3"/>
      <x:c r="M14" s="3"/>
    </x:row>
    <x:row r="15" spans="1:13" ht="39.950000000000003" customHeight="1">
      <x:c r="A15" s="921" t="s">
        <x:v>1461</x:v>
      </x:c>
      <x:c r="B15" s="921"/>
      <x:c r="C15" s="921"/>
      <x:c r="D15" s="921"/>
      <x:c r="E15" s="921"/>
      <x:c r="F15" s="921"/>
      <x:c r="G15" s="921"/>
      <x:c r="H15" s="921"/>
      <x:c r="I15" s="921"/>
      <x:c r="J15" s="921"/>
      <x:c r="K15" s="921"/>
      <x:c r="L15" s="921"/>
      <x:c r="M15" s="921"/>
    </x:row>
    <x:row r="19" ht="36" customHeight="1"/>
    <x:row r="475" spans="21:21" customHeight="1">
      <x:c r="U475" s="72"/>
    </x:row>
    <x:row r="476" spans="21:21" customHeight="1">
      <x:c r="U476" s="72"/>
    </x:row>
    <x:row r="477" spans="21:21" customHeight="1">
      <x:c r="U477" s="72"/>
    </x:row>
    <x:row r="478" spans="21:21" customHeight="1">
      <x:c r="U478" s="72"/>
    </x:row>
  </x:sheetData>
  <x:mergeCells count="5">
    <x:mergeCell ref="T2:T3"/>
    <x:mergeCell ref="A4:M4"/>
    <x:mergeCell ref="A5:M5"/>
    <x:mergeCell ref="A6:M6"/>
    <x:mergeCell ref="A15:M15"/>
  </x:mergeCell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95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92d050"/>
    <x:pageSetUpPr autoPageBreaks="1" fitToPage="1"/>
  </x:sheetPr>
  <x:dimension ref="A2:U484"/>
  <x:sheetViews>
    <x:sheetView view="pageBreakPreview" topLeftCell="A3" zoomScale="55" zoomScaleNormal="100" zoomScaleSheetLayoutView="55" workbookViewId="0">
      <x:selection activeCell="L15" activeCellId="0" sqref="L15:L15"/>
    </x:sheetView>
  </x:sheetViews>
  <x:sheetFormatPr defaultColWidth="9.00390625" defaultRowHeight="20.100000000000001" customHeight="1"/>
  <x:cols>
    <x:col min="1" max="1" width="26.25" style="1" customWidth="1"/>
    <x:col min="2" max="2" width="19.75" style="1" customWidth="1"/>
    <x:col min="3" max="3" width="18" style="1" customWidth="1"/>
    <x:col min="4" max="4" width="19.25" style="1" customWidth="1"/>
    <x:col min="5" max="5" width="18.125" style="1" customWidth="1"/>
    <x:col min="6" max="6" width="20.25" style="1" bestFit="1" customWidth="1"/>
    <x:col min="7" max="7" width="16.375" style="1" customWidth="1"/>
    <x:col min="8" max="9" width="19.625" style="1" customWidth="1"/>
    <x:col min="10" max="10" width="3.625" style="6" customWidth="1"/>
    <x:col min="11" max="15" width="15.625" style="1" customWidth="1"/>
    <x:col min="20" max="20" width="40.625" style="1" customWidth="1"/>
  </x:cols>
  <x:sheetData>
    <x:row r="1" ht="9" customHeight="1"/>
    <x:row r="2" spans="1:10" ht="39.950000000000003" customHeight="1">
      <x:c r="A2" s="922" t="s">
        <x:v>558</x:v>
      </x:c>
      <x:c r="B2" s="923"/>
      <x:c r="C2" s="923"/>
      <x:c r="D2" s="923"/>
      <x:c r="E2" s="923"/>
      <x:c r="F2" s="923"/>
      <x:c r="G2" s="923"/>
      <x:c r="H2" s="923"/>
      <x:c r="I2" s="924"/>
      <x:c r="J2" s="15"/>
    </x:row>
    <x:row r="3" spans="1:10" ht="16.5" customHeight="1">
      <x:c r="A3" s="76"/>
      <x:c r="B3" s="76"/>
      <x:c r="C3" s="76"/>
      <x:c r="D3" s="76"/>
      <x:c r="E3" s="76"/>
      <x:c r="F3" s="76"/>
      <x:c r="G3" s="76"/>
      <x:c r="H3" s="76"/>
      <x:c r="I3" s="76"/>
      <x:c r="J3" s="15"/>
    </x:row>
    <x:row r="4" spans="1:1" ht="30" customHeight="1">
      <x:c r="A4" s="118" t="s">
        <x:v>1540</x:v>
      </x:c>
    </x:row>
    <x:row r="5" spans="3:20" ht="15" customHeight="1">
      <x:c r="C5" s="8"/>
      <x:c r="D5" s="8"/>
      <x:c r="E5" s="8"/>
      <x:c r="F5" s="10"/>
      <x:c r="G5" s="12"/>
      <x:c r="H5" s="8"/>
      <x:c r="I5" s="5" t="s">
        <x:v>1513</x:v>
      </x:c>
      <x:c r="J5" s="16"/>
      <x:c r="T5" s="916"/>
    </x:row>
    <x:row r="6" spans="1:20" ht="24.949999999999999" customHeight="1">
      <x:c r="A6" s="927" t="s">
        <x:v>1327</x:v>
      </x:c>
      <x:c r="B6" s="927" t="s">
        <x:v>1528</x:v>
      </x:c>
      <x:c r="C6" s="927" t="s">
        <x:v>1328</x:v>
      </x:c>
      <x:c r="D6" s="927"/>
      <x:c r="E6" s="929"/>
      <x:c r="F6" s="927" t="s">
        <x:v>1324</x:v>
      </x:c>
      <x:c r="G6" s="927"/>
      <x:c r="H6" s="929"/>
      <x:c r="I6" s="927" t="s">
        <x:v>1319</x:v>
      </x:c>
      <x:c r="J6" s="11"/>
      <x:c r="K6" s="7" t="s">
        <x:v>1530</x:v>
      </x:c>
      <x:c r="L6" s="18"/>
      <x:c r="M6" s="18"/>
      <x:c r="N6" s="18"/>
      <x:c r="O6" s="18"/>
      <x:c r="T6" s="916"/>
    </x:row>
    <x:row r="7" spans="1:15" ht="24.949999999999999" customHeight="1">
      <x:c r="A7" s="927"/>
      <x:c r="B7" s="927"/>
      <x:c r="C7" s="534" t="s">
        <x:v>89</x:v>
      </x:c>
      <x:c r="D7" s="97" t="s">
        <x:v>93</x:v>
      </x:c>
      <x:c r="E7" s="98" t="s">
        <x:v>101</x:v>
      </x:c>
      <x:c r="F7" s="535" t="s">
        <x:v>89</x:v>
      </x:c>
      <x:c r="G7" s="97" t="s">
        <x:v>93</x:v>
      </x:c>
      <x:c r="H7" s="98" t="s">
        <x:v>101</x:v>
      </x:c>
      <x:c r="I7" s="928"/>
      <x:c r="J7" s="11"/>
      <x:c r="K7" s="126" t="s">
        <x:v>1327</x:v>
      </x:c>
      <x:c r="L7" s="126" t="s">
        <x:v>111</x:v>
      </x:c>
      <x:c r="M7" s="126" t="s">
        <x:v>90</x:v>
      </x:c>
      <x:c r="N7" s="126" t="s">
        <x:v>92</x:v>
      </x:c>
      <x:c r="O7" s="126" t="s">
        <x:v>136</x:v>
      </x:c>
    </x:row>
    <x:row r="8" spans="1:15" ht="30" customHeight="1">
      <x:c r="A8" s="99" t="s">
        <x:v>96</x:v>
      </x:c>
      <x:c r="B8" s="100">
        <x:f t="shared" ref="B8:I8" si="0">SUM(B9:B19)</x:f>
        <x:v>42242001864</x:v>
      </x:c>
      <x:c r="C8" s="100">
        <x:f t="shared" si="0"/>
        <x:v>-2156025</x:v>
      </x:c>
      <x:c r="D8" s="101">
        <x:f t="shared" si="0"/>
        <x:v>84100</x:v>
      </x:c>
      <x:c r="E8" s="102">
        <x:f t="shared" si="0"/>
        <x:v>-2071925</x:v>
      </x:c>
      <x:c r="F8" s="103">
        <x:f t="shared" si="0"/>
        <x:v>-13056490</x:v>
      </x:c>
      <x:c r="G8" s="101">
        <x:f t="shared" si="0"/>
        <x:v>14715391</x:v>
      </x:c>
      <x:c r="H8" s="102">
        <x:f t="shared" si="0"/>
        <x:v>1658901</x:v>
      </x:c>
      <x:c r="I8" s="103">
        <x:f t="shared" si="0"/>
        <x:v>42243660765</x:v>
      </x:c>
      <x:c r="J8" s="17"/>
      <x:c r="K8" s="125" t="s">
        <x:v>96</x:v>
      </x:c>
      <x:c r="L8" s="124">
        <x:f>SUM(L9:L10)</x:f>
        <x:v>-2071925</x:v>
      </x:c>
      <x:c r="M8" s="124">
        <x:f>SUM(M9:M10)</x:f>
        <x:v>1658901</x:v>
      </x:c>
      <x:c r="N8" s="129">
        <x:f>L8-M8</x:f>
        <x:v>-3730826</x:v>
      </x:c>
      <x:c r="O8" s="128"/>
    </x:row>
    <x:row r="9" spans="1:15" ht="33" customHeight="1">
      <x:c r="A9" s="115" t="s">
        <x:v>1956</x:v>
      </x:c>
      <x:c r="B9" s="116">
        <x:f t="shared" ref="B9:B17" si="1">B33</x:f>
        <x:v>129702008</x:v>
      </x:c>
      <x:c r="C9" s="116">
        <x:f>SUMIFS('3. 일입'!$N$7:$N$2000,'3. 일입'!$B$7:$B$2000,$A9,'3. 일입'!$N$7:$N$2000,"&lt;"&amp;0)+SUMIFS('4. 특입'!$N$6:$N$1994,'4. 특입'!$B$6:$B$1994,$A9,'4. 특입'!$N$6:$N$1994,"&lt;"&amp;0)+SUMIFS('4-1. 공특입'!$O$6:$O$1992,'4-1. 공특입'!$B$6:$B$1992,$A9,'4-1. 공특입'!$O$6:$O$1992,"&lt;"&amp;0)</x:f>
        <x:v>0</x:v>
      </x:c>
      <x:c r="D9" s="540">
        <x:f>SUMIFS('3. 일입'!$N$7:$N$2000,'3. 일입'!$B$7:$B$2000,$A9,'3. 일입'!$N$7:$N$2000,"&gt;"&amp;0)+SUMIFS('4. 특입'!$N$6:$N$1994,'4. 특입'!$B$6:$B$1994,$A9,'4. 특입'!$N$6:$N$1994,"&gt;"&amp;0)+SUMIFS('4-1. 공특입'!$O$6:$O$1992,'4-1. 공특입'!$B$6:$B$1992,$A9,'4-1. 공특입'!$O$6:$O$1992,"&gt;"&amp;0)</x:f>
        <x:v>0</x:v>
      </x:c>
      <x:c r="E9" s="360">
        <x:f>C9+D9</x:f>
        <x:v>0</x:v>
      </x:c>
      <x:c r="F9" s="541">
        <x:f>SUMIFS('3. 일출(자체)'!$P$6:$P$1989,'3. 일출(자체)'!$B$6:$B$1989,$A9,'3. 일출(자체)'!$P$6:$P$1989,"&lt;"&amp;0)+SUMIFS('3. 일출(의존)'!$P$6:P$1989,'3. 일출(의존)'!$B$6:$B$1989,$A9,'3. 일출(의존)'!$P$6:$P$1989,"&lt;"&amp;0)+SUMIFS('4. 특출'!$P$5:$P$1991,'4. 특출'!$B$5:$B$1991,$A9,'4. 특출'!$P$5:$P$1991,"&lt;"&amp;0)+SUMIFS('4-1. 공특출'!$P$5:$P$1992,'4-1. 공특출'!$B$5:$B$1992,$A9,'4-1. 공특출'!$P$5:$P$1992,"&lt;"&amp;0)</x:f>
        <x:v>0</x:v>
      </x:c>
      <x:c r="G9" s="540">
        <x:f>SUMIFS('3. 일출(자체)'!$P$6:$P$1989,'3. 일출(자체)'!$B$6:$B$1989,$A9,'3. 일출(자체)'!$P$6:$P$1989,"&gt;"&amp;0)+SUMIFS('3. 일출(의존)'!$P$6:$P$1989,'3. 일출(의존)'!$B$6:$B$1989,$A9,'3. 일출(의존)'!$P$6:$P$1989,"&gt;"&amp;0)+SUMIFS('4. 특출'!$P$5:$P$1991,'4. 특출'!$B$5:$B$1991,$A9,'4. 특출'!$P$5:$P$1991,"&gt;"&amp;0)+SUMIFS('4-1. 공특출'!$P$5:$P$1992,'4-1. 공특출'!$B$5:$B$1992,$A9,'4-1. 공특출'!$P$5:$P$1992,"&gt;"&amp;0)</x:f>
        <x:v>0</x:v>
      </x:c>
      <x:c r="H9" s="105">
        <x:f t="shared" ref="H9:H19" si="2">G9+F9</x:f>
        <x:v>0</x:v>
      </x:c>
      <x:c r="I9" s="106">
        <x:f t="shared" ref="I9:I19" si="3">B9+F9+G9</x:f>
        <x:v>129702008</x:v>
      </x:c>
      <x:c r="J9" s="17"/>
      <x:c r="K9" s="127" t="s">
        <x:v>1337</x:v>
      </x:c>
      <x:c r="L9" s="121">
        <x:f>SUM(C26:D26)</x:f>
        <x:v>-402425</x:v>
      </x:c>
      <x:c r="M9" s="121">
        <x:f>SUM(F26:G26)</x:f>
        <x:v>10128401</x:v>
      </x:c>
      <x:c r="N9" s="121">
        <x:f>L9-M9</x:f>
        <x:v>-10530826</x:v>
      </x:c>
      <x:c r="O9" s="925" t="s">
        <x:v>1787</x:v>
      </x:c>
    </x:row>
    <x:row r="10" spans="1:15" ht="33" customHeight="1">
      <x:c r="A10" s="107" t="s">
        <x:v>1937</x:v>
      </x:c>
      <x:c r="B10" s="108">
        <x:f t="shared" si="1"/>
        <x:v>5932148107</x:v>
      </x:c>
      <x:c r="C10" s="108">
        <x:f>SUMIFS('3. 일입'!$N$7:$N$2000,'3. 일입'!$B$7:$B$2000,$A10,'3. 일입'!$N$7:$N$2000,"&lt;"&amp;0)+SUMIFS('4. 특입'!$N$6:$N$1994,'4. 특입'!$B$6:$B$1994,$A10,'4. 특입'!$N$6:$N$1994,"&lt;"&amp;0)+SUMIFS('4-1. 공특입'!$O$6:$O$1992,'4-1. 공특입'!$B$6:$B$1992,$A10,'4-1. 공특입'!$O$6:$O$1992,"&lt;"&amp;0)</x:f>
        <x:v>0</x:v>
      </x:c>
      <x:c r="D10" s="109">
        <x:f>SUMIFS('3. 일입'!$N$7:$N$2000,'3. 일입'!$B$7:$B$2000,$A10,'3. 일입'!$N$7:$N$2000,"&gt;"&amp;0)+SUMIFS('4. 특입'!$N$6:$N$1994,'4. 특입'!$B$6:$B$1994,$A10,'4. 특입'!$N$6:$N$1994,"&gt;"&amp;0)+SUMIFS('4-1. 공특입'!$O$6:$O$1992,'4-1. 공특입'!$B$6:$B$1992,$A10,'4-1. 공특입'!$O$6:$O$1992,"&gt;"&amp;0)</x:f>
        <x:v>0</x:v>
      </x:c>
      <x:c r="E10" s="110">
        <x:f>C10+D10</x:f>
        <x:v>0</x:v>
      </x:c>
      <x:c r="F10" s="542">
        <x:f>SUMIFS('3. 일출(자체)'!$P$6:$P$1989,'3. 일출(자체)'!$B$6:$B$1989,$A10,'3. 일출(자체)'!$P$6:$P$1989,"&lt;"&amp;0)+SUMIFS('3. 일출(의존)'!$P$6:P$1989,'3. 일출(의존)'!$B$6:$B$1989,$A10,'3. 일출(의존)'!$P$6:$P$1989,"&lt;"&amp;0)+SUMIFS('4. 특출'!$P$5:$P$1991,'4. 특출'!$B$5:$B$1991,$A10,'4. 특출'!$P$5:$P$1991,"&lt;"&amp;0)+SUMIFS('4-1. 공특출'!$P$5:$P$1992,'4-1. 공특출'!$B$5:$B$1992,$A10,'4-1. 공특출'!$P$5:$P$1992,"&lt;"&amp;0)</x:f>
        <x:v>0</x:v>
      </x:c>
      <x:c r="G10" s="109">
        <x:f>SUMIFS('3. 일출(자체)'!$P$6:$P$1989,'3. 일출(자체)'!$B$6:$B$1989,$A10,'3. 일출(자체)'!$P$6:$P$1989,"&gt;"&amp;0)+SUMIFS('3. 일출(의존)'!$P$6:$P$1989,'3. 일출(의존)'!$B$6:$B$1989,$A10,'3. 일출(의존)'!$P$6:$P$1989,"&gt;"&amp;0)+SUMIFS('4. 특출'!$P$5:$P$1991,'4. 특출'!$B$5:$B$1991,$A10,'4. 특출'!$P$5:$P$1991,"&gt;"&amp;0)+SUMIFS('4-1. 공특출'!$P$5:$P$1992,'4-1. 공특출'!$B$5:$B$1992,$A10,'4-1. 공특출'!$P$5:$P$1992,"&gt;"&amp;0)</x:f>
        <x:v>0</x:v>
      </x:c>
      <x:c r="H10" s="110">
        <x:f t="shared" si="2"/>
        <x:v>0</x:v>
      </x:c>
      <x:c r="I10" s="111">
        <x:f t="shared" si="3"/>
        <x:v>5932148107</x:v>
      </x:c>
      <x:c r="J10" s="17"/>
      <x:c r="K10" s="127" t="s">
        <x:v>491</x:v>
      </x:c>
      <x:c r="L10" s="121">
        <x:f>SUM(C27:D27)</x:f>
        <x:v>-1669500</x:v>
      </x:c>
      <x:c r="M10" s="121">
        <x:f>SUM(F27:G27)</x:f>
        <x:v>-8469500</x:v>
      </x:c>
      <x:c r="N10" s="121">
        <x:f>L10-M10</x:f>
        <x:v>6800000</x:v>
      </x:c>
      <x:c r="O10" s="926"/>
    </x:row>
    <x:row r="11" spans="1:15" ht="33" customHeight="1">
      <x:c r="A11" s="107" t="s">
        <x:v>519</x:v>
      </x:c>
      <x:c r="B11" s="108">
        <x:f t="shared" si="1"/>
        <x:v>474872242</x:v>
      </x:c>
      <x:c r="C11" s="108">
        <x:f>SUMIFS('3. 일입'!$N$7:$N$2000,'3. 일입'!$B$7:$B$2000,$A11,'3. 일입'!$N$7:$N$2000,"&lt;"&amp;0)+SUMIFS('4. 특입'!$N$6:$N$1994,'4. 특입'!$B$6:$B$1994,$A11,'4. 특입'!$N$6:$N$1994,"&lt;"&amp;0)+SUMIFS('4-1. 공특입'!$O$6:$O$1992,'4-1. 공특입'!$B$6:$B$1992,$A11,'4-1. 공특입'!$O$6:$O$1992,"&lt;"&amp;0)</x:f>
        <x:v>0</x:v>
      </x:c>
      <x:c r="D11" s="109">
        <x:f>SUMIFS('3. 일입'!$N$7:$N$2000,'3. 일입'!$B$7:$B$2000,$A11,'3. 일입'!$N$7:$N$2000,"&gt;"&amp;0)+SUMIFS('4. 특입'!$N$6:$N$1994,'4. 특입'!$B$6:$B$1994,$A11,'4. 특입'!$N$6:$N$1994,"&gt;"&amp;0)+SUMIFS('4-1. 공특입'!$O$6:$O$1992,'4-1. 공특입'!$B$6:$B$1992,$A11,'4-1. 공특입'!$O$6:$O$1992,"&gt;"&amp;0)</x:f>
        <x:v>0</x:v>
      </x:c>
      <x:c r="E11" s="110">
        <x:f>C11+D11</x:f>
        <x:v>0</x:v>
      </x:c>
      <x:c r="F11" s="542">
        <x:f>SUMIFS('3. 일출(자체)'!$P$6:$P$1989,'3. 일출(자체)'!$B$6:$B$1989,$A11,'3. 일출(자체)'!$P$6:$P$1989,"&lt;"&amp;0)+SUMIFS('3. 일출(의존)'!$P$6:P$1989,'3. 일출(의존)'!$B$6:$B$1989,$A11,'3. 일출(의존)'!$P$6:$P$1989,"&lt;"&amp;0)+SUMIFS('4. 특출'!$P$5:$P$1991,'4. 특출'!$B$5:$B$1991,$A11,'4. 특출'!$P$5:$P$1991,"&lt;"&amp;0)+SUMIFS('4-1. 공특출'!$P$5:$P$1992,'4-1. 공특출'!$B$5:$B$1992,$A11,'4-1. 공특출'!$P$5:$P$1992,"&lt;"&amp;0)</x:f>
        <x:v>0</x:v>
      </x:c>
      <x:c r="G11" s="109">
        <x:f>SUMIFS('3. 일출(자체)'!$P$6:$P$1989,'3. 일출(자체)'!$B$6:$B$1989,$A11,'3. 일출(자체)'!$P$6:$P$1989,"&gt;"&amp;0)+SUMIFS('3. 일출(의존)'!$P$6:$P$1989,'3. 일출(의존)'!$B$6:$B$1989,$A11,'3. 일출(의존)'!$P$6:$P$1989,"&gt;"&amp;0)+SUMIFS('4. 특출'!$P$5:$P$1991,'4. 특출'!$B$5:$B$1991,$A11,'4. 특출'!$P$5:$P$1991,"&gt;"&amp;0)+SUMIFS('4-1. 공특출'!$P$5:$P$1992,'4-1. 공특출'!$B$5:$B$1992,$A11,'4-1. 공특출'!$P$5:$P$1992,"&gt;"&amp;0)</x:f>
        <x:v>0</x:v>
      </x:c>
      <x:c r="H11" s="110">
        <x:f t="shared" si="2"/>
        <x:v>0</x:v>
      </x:c>
      <x:c r="I11" s="111">
        <x:f t="shared" si="3"/>
        <x:v>474872242</x:v>
      </x:c>
      <x:c r="J11" s="17"/>
      <x:c r="N11" s="26"/>
      <x:c r="O11" s="1" t="s">
        <x:v>1656</x:v>
      </x:c>
    </x:row>
    <x:row r="12" spans="1:14" ht="33" customHeight="1">
      <x:c r="A12" s="107" t="s">
        <x:v>1938</x:v>
      </x:c>
      <x:c r="B12" s="108">
        <x:f t="shared" si="1"/>
        <x:v>4269846310</x:v>
      </x:c>
      <x:c r="C12" s="108">
        <x:f>SUMIFS('3. 일입'!$N$7:$N$2000,'3. 일입'!$B$7:$B$2000,$A12,'3. 일입'!$N$7:$N$2000,"&lt;"&amp;0)+SUMIFS('4. 특입'!$N$6:$N$1994,'4. 특입'!$B$6:$B$1994,$A12,'4. 특입'!$N$6:$N$1994,"&lt;"&amp;0)+SUMIFS('4-1. 공특입'!$O$6:$O$1992,'4-1. 공특입'!$B$6:$B$1992,$A12,'4-1. 공특입'!$O$6:$O$1992,"&lt;"&amp;0)</x:f>
        <x:v>0</x:v>
      </x:c>
      <x:c r="D12" s="109">
        <x:f>SUMIFS('3. 일입'!$N$7:$N$2000,'3. 일입'!$B$7:$B$2000,$A12,'3. 일입'!$N$7:$N$2000,"&gt;"&amp;0)+SUMIFS('4. 특입'!$N$6:$N$1994,'4. 특입'!$B$6:$B$1994,$A12,'4. 특입'!$N$6:$N$1994,"&gt;"&amp;0)+SUMIFS('4-1. 공특입'!$O$6:$O$1992,'4-1. 공특입'!$B$6:$B$1992,$A12,'4-1. 공특입'!$O$6:$O$1992,"&gt;"&amp;0)</x:f>
        <x:v>0</x:v>
      </x:c>
      <x:c r="E12" s="110">
        <x:f>C12+D12</x:f>
        <x:v>0</x:v>
      </x:c>
      <x:c r="F12" s="542">
        <x:f>SUMIFS('3. 일출(자체)'!$P$6:$P$1989,'3. 일출(자체)'!$B$6:$B$1989,$A12,'3. 일출(자체)'!$P$6:$P$1989,"&lt;"&amp;0)+SUMIFS('3. 일출(의존)'!$P$6:P$1989,'3. 일출(의존)'!$B$6:$B$1989,$A12,'3. 일출(의존)'!$P$6:$P$1989,"&lt;"&amp;0)+SUMIFS('4. 특출'!$P$5:$P$1991,'4. 특출'!$B$5:$B$1991,$A12,'4. 특출'!$P$5:$P$1991,"&lt;"&amp;0)+SUMIFS('4-1. 공특출'!$P$5:$P$1992,'4-1. 공특출'!$B$5:$B$1992,$A12,'4-1. 공특출'!$P$5:$P$1992,"&lt;"&amp;0)</x:f>
        <x:v>0</x:v>
      </x:c>
      <x:c r="G12" s="109">
        <x:f>SUMIFS('3. 일출(자체)'!$P$6:$P$1989,'3. 일출(자체)'!$B$6:$B$1989,$A12,'3. 일출(자체)'!$P$6:$P$1989,"&gt;"&amp;0)+SUMIFS('3. 일출(의존)'!$P$6:$P$1989,'3. 일출(의존)'!$B$6:$B$1989,$A12,'3. 일출(의존)'!$P$6:$P$1989,"&gt;"&amp;0)+SUMIFS('4. 특출'!$P$5:$P$1991,'4. 특출'!$B$5:$B$1991,$A12,'4. 특출'!$P$5:$P$1991,"&gt;"&amp;0)+SUMIFS('4-1. 공특출'!$P$5:$P$1992,'4-1. 공특출'!$B$5:$B$1992,$A12,'4-1. 공특출'!$P$5:$P$1992,"&gt;"&amp;0)</x:f>
        <x:v>0</x:v>
      </x:c>
      <x:c r="H12" s="110">
        <x:f t="shared" si="2"/>
        <x:v>0</x:v>
      </x:c>
      <x:c r="I12" s="111">
        <x:f t="shared" si="3"/>
        <x:v>4269846310</x:v>
      </x:c>
      <x:c r="J12" s="17"/>
      <x:c r="N12" s="26"/>
    </x:row>
    <x:row r="13" spans="1:10" ht="33" customHeight="1">
      <x:c r="A13" s="107" t="s">
        <x:v>1512</x:v>
      </x:c>
      <x:c r="B13" s="108">
        <x:f t="shared" si="1"/>
        <x:v>554871567</x:v>
      </x:c>
      <x:c r="C13" s="108">
        <x:f>SUMIFS('3. 일입'!$N$7:$N$2000,'3. 일입'!$B$7:$B$2000,$A13,'3. 일입'!$N$7:$N$2000,"&lt;"&amp;0)+SUMIFS('4. 특입'!$N$6:$N$1994,'4. 특입'!$B$6:$B$1994,$A13,'4. 특입'!$N$6:$N$1994,"&lt;"&amp;0)+SUMIFS('4-1. 공특입'!$O$6:$O$1992,'4-1. 공특입'!$B$6:$B$1992,$A13,'4-1. 공특입'!$O$6:$O$1992,"&lt;"&amp;0)</x:f>
        <x:v>0</x:v>
      </x:c>
      <x:c r="D13" s="109">
        <x:f>SUMIFS('3. 일입'!$N$7:$N$2000,'3. 일입'!$B$7:$B$2000,$A13,'3. 일입'!$N$7:$N$2000,"&gt;"&amp;0)+SUMIFS('4. 특입'!$N$6:$N$1994,'4. 특입'!$B$6:$B$1994,$A13,'4. 특입'!$N$6:$N$1994,"&gt;"&amp;0)+SUMIFS('4-1. 공특입'!$O$6:$O$1992,'4-1. 공특입'!$B$6:$B$1992,$A13,'4-1. 공특입'!$O$6:$O$1992,"&gt;"&amp;0)</x:f>
        <x:v>0</x:v>
      </x:c>
      <x:c r="E13" s="110">
        <x:f t="shared" ref="E13:E19" si="4">C13+D13</x:f>
        <x:v>0</x:v>
      </x:c>
      <x:c r="F13" s="542">
        <x:f>SUMIFS('3. 일출(자체)'!$P$6:$P$1989,'3. 일출(자체)'!$B$6:$B$1989,$A13,'3. 일출(자체)'!$P$6:$P$1989,"&lt;"&amp;0)+SUMIFS('3. 일출(의존)'!$P$6:P$1989,'3. 일출(의존)'!$B$6:$B$1989,$A13,'3. 일출(의존)'!$P$6:$P$1989,"&lt;"&amp;0)+SUMIFS('4. 특출'!$P$5:$P$1991,'4. 특출'!$B$5:$B$1991,$A13,'4. 특출'!$P$5:$P$1991,"&lt;"&amp;0)+SUMIFS('4-1. 공특출'!$P$5:$P$1992,'4-1. 공특출'!$B$5:$B$1992,$A13,'4-1. 공특출'!$P$5:$P$1992,"&lt;"&amp;0)</x:f>
        <x:v>0</x:v>
      </x:c>
      <x:c r="G13" s="109">
        <x:f>SUMIFS('3. 일출(자체)'!$P$6:$P$1989,'3. 일출(자체)'!$B$6:$B$1989,$A13,'3. 일출(자체)'!$P$6:$P$1989,"&gt;"&amp;0)+SUMIFS('3. 일출(의존)'!$P$6:$P$1989,'3. 일출(의존)'!$B$6:$B$1989,$A13,'3. 일출(의존)'!$P$6:$P$1989,"&gt;"&amp;0)+SUMIFS('4. 특출'!$P$5:$P$1991,'4. 특출'!$B$5:$B$1991,$A13,'4. 특출'!$P$5:$P$1991,"&gt;"&amp;0)+SUMIFS('4-1. 공특출'!$P$5:$P$1992,'4-1. 공특출'!$B$5:$B$1992,$A13,'4-1. 공특출'!$P$5:$P$1992,"&gt;"&amp;0)</x:f>
        <x:v>0</x:v>
      </x:c>
      <x:c r="H13" s="110">
        <x:f t="shared" si="2"/>
        <x:v>0</x:v>
      </x:c>
      <x:c r="I13" s="111">
        <x:f t="shared" si="3"/>
        <x:v>554871567</x:v>
      </x:c>
      <x:c r="J13" s="17"/>
    </x:row>
    <x:row r="14" spans="1:10" ht="33" customHeight="1">
      <x:c r="A14" s="107" t="s">
        <x:v>2005</x:v>
      </x:c>
      <x:c r="B14" s="108">
        <x:f t="shared" si="1"/>
        <x:v>1195877261</x:v>
      </x:c>
      <x:c r="C14" s="108">
        <x:f>SUMIFS('3. 일입'!$N$7:$N$2000,'3. 일입'!$B$7:$B$2000,$A14,'3. 일입'!$N$7:$N$2000,"&lt;"&amp;0)+SUMIFS('4. 특입'!$N$6:$N$1994,'4. 특입'!$B$6:$B$1994,$A14,'4. 특입'!$N$6:$N$1994,"&lt;"&amp;0)+SUMIFS('4-1. 공특입'!$O$6:$O$1992,'4-1. 공특입'!$B$6:$B$1992,$A14,'4-1. 공특입'!$O$6:$O$1992,"&lt;"&amp;0)</x:f>
        <x:v>0</x:v>
      </x:c>
      <x:c r="D14" s="109">
        <x:f>SUMIFS('3. 일입'!$N$7:$N$2000,'3. 일입'!$B$7:$B$2000,$A14,'3. 일입'!$N$7:$N$2000,"&gt;"&amp;0)+SUMIFS('4. 특입'!$N$6:$N$1994,'4. 특입'!$B$6:$B$1994,$A14,'4. 특입'!$N$6:$N$1994,"&gt;"&amp;0)+SUMIFS('4-1. 공특입'!$O$6:$O$1992,'4-1. 공특입'!$B$6:$B$1992,$A14,'4-1. 공특입'!$O$6:$O$1992,"&gt;"&amp;0)</x:f>
        <x:v>0</x:v>
      </x:c>
      <x:c r="E14" s="110">
        <x:f t="shared" si="4"/>
        <x:v>0</x:v>
      </x:c>
      <x:c r="F14" s="542">
        <x:f>SUMIFS('3. 일출(자체)'!$P$6:$P$1989,'3. 일출(자체)'!$B$6:$B$1989,$A14,'3. 일출(자체)'!$P$6:$P$1989,"&lt;"&amp;0)+SUMIFS('3. 일출(의존)'!$P$6:P$1989,'3. 일출(의존)'!$B$6:$B$1989,$A14,'3. 일출(의존)'!$P$6:$P$1989,"&lt;"&amp;0)+SUMIFS('4. 특출'!$P$5:$P$1991,'4. 특출'!$B$5:$B$1991,$A14,'4. 특출'!$P$5:$P$1991,"&lt;"&amp;0)+SUMIFS('4-1. 공특출'!$P$5:$P$1992,'4-1. 공특출'!$B$5:$B$1992,$A14,'4-1. 공특출'!$P$5:$P$1992,"&lt;"&amp;0)</x:f>
        <x:v>0</x:v>
      </x:c>
      <x:c r="G14" s="109">
        <x:f>SUMIFS('3. 일출(자체)'!$P$6:$P$1989,'3. 일출(자체)'!$B$6:$B$1989,$A14,'3. 일출(자체)'!$P$6:$P$1989,"&gt;"&amp;0)+SUMIFS('3. 일출(의존)'!$P$6:$P$1989,'3. 일출(의존)'!$B$6:$B$1989,$A14,'3. 일출(의존)'!$P$6:$P$1989,"&gt;"&amp;0)+SUMIFS('4. 특출'!$P$5:$P$1991,'4. 특출'!$B$5:$B$1991,$A14,'4. 특출'!$P$5:$P$1991,"&gt;"&amp;0)+SUMIFS('4-1. 공특출'!$P$5:$P$1992,'4-1. 공특출'!$B$5:$B$1992,$A14,'4-1. 공특출'!$P$5:$P$1992,"&gt;"&amp;0)</x:f>
        <x:v>0</x:v>
      </x:c>
      <x:c r="H14" s="110">
        <x:f t="shared" si="2"/>
        <x:v>0</x:v>
      </x:c>
      <x:c r="I14" s="111">
        <x:f t="shared" si="3"/>
        <x:v>1195877261</x:v>
      </x:c>
      <x:c r="J14" s="17"/>
    </x:row>
    <x:row r="15" spans="1:10" ht="33" customHeight="1">
      <x:c r="A15" s="107" t="s">
        <x:v>2020</x:v>
      </x:c>
      <x:c r="B15" s="108">
        <x:f t="shared" si="1"/>
        <x:v>14042559485</x:v>
      </x:c>
      <x:c r="C15" s="108">
        <x:f>SUMIFS('3. 일입'!$N$7:$N$2000,'3. 일입'!$B$7:$B$2000,$A15,'3. 일입'!$N$7:$N$2000,"&lt;"&amp;0)+SUMIFS('4. 특입'!$N$6:$N$1994,'4. 특입'!$B$6:$B$1994,$A15,'4. 특입'!$N$6:$N$1994,"&lt;"&amp;0)+SUMIFS('4-1. 공특입'!$O$6:$O$1992,'4-1. 공특입'!$B$6:$B$1992,$A15,'4-1. 공특입'!$O$6:$O$1992,"&lt;"&amp;0)</x:f>
        <x:v>0</x:v>
      </x:c>
      <x:c r="D15" s="109">
        <x:f>SUMIFS('3. 일입'!$N$7:$N$2000,'3. 일입'!$B$7:$B$2000,$A15,'3. 일입'!$N$7:$N$2000,"&gt;"&amp;0)+SUMIFS('4. 특입'!$N$6:$N$1994,'4. 특입'!$B$6:$B$1994,$A15,'4. 특입'!$N$6:$N$1994,"&gt;"&amp;0)+SUMIFS('4-1. 공특입'!$O$6:$O$1992,'4-1. 공특입'!$B$6:$B$1992,$A15,'4-1. 공특입'!$O$6:$O$1992,"&gt;"&amp;0)</x:f>
        <x:v>0</x:v>
      </x:c>
      <x:c r="E15" s="110">
        <x:f t="shared" si="4"/>
        <x:v>0</x:v>
      </x:c>
      <x:c r="F15" s="542">
        <x:f>SUMIFS('3. 일출(자체)'!$P$6:$P$1989,'3. 일출(자체)'!$B$6:$B$1989,$A15,'3. 일출(자체)'!$P$6:$P$1989,"&lt;"&amp;0)+SUMIFS('3. 일출(의존)'!$P$6:P$1989,'3. 일출(의존)'!$B$6:$B$1989,$A15,'3. 일출(의존)'!$P$6:$P$1989,"&lt;"&amp;0)+SUMIFS('4. 특출'!$P$5:$P$1991,'4. 특출'!$B$5:$B$1991,$A15,'4. 특출'!$P$5:$P$1991,"&lt;"&amp;0)+SUMIFS('4-1. 공특출'!$P$5:$P$1992,'4-1. 공특출'!$B$5:$B$1992,$A15,'4-1. 공특출'!$P$5:$P$1992,"&lt;"&amp;0)</x:f>
        <x:v>0</x:v>
      </x:c>
      <x:c r="G15" s="109">
        <x:f>SUMIFS('3. 일출(자체)'!$P$6:$P$1989,'3. 일출(자체)'!$B$6:$B$1989,$A15,'3. 일출(자체)'!$P$6:$P$1989,"&gt;"&amp;0)+SUMIFS('3. 일출(의존)'!$P$6:$P$1989,'3. 일출(의존)'!$B$6:$B$1989,$A15,'3. 일출(의존)'!$P$6:$P$1989,"&gt;"&amp;0)+SUMIFS('4. 특출'!$P$5:$P$1991,'4. 특출'!$B$5:$B$1991,$A15,'4. 특출'!$P$5:$P$1991,"&gt;"&amp;0)+SUMIFS('4-1. 공특출'!$P$5:$P$1992,'4-1. 공특출'!$B$5:$B$1992,$A15,'4-1. 공특출'!$P$5:$P$1992,"&gt;"&amp;0)</x:f>
        <x:v>0</x:v>
      </x:c>
      <x:c r="H15" s="110">
        <x:f t="shared" si="2"/>
        <x:v>0</x:v>
      </x:c>
      <x:c r="I15" s="111">
        <x:f t="shared" si="3"/>
        <x:v>14042559485</x:v>
      </x:c>
      <x:c r="J15" s="17"/>
    </x:row>
    <x:row r="16" spans="1:10" ht="33" customHeight="1">
      <x:c r="A16" s="107" t="s">
        <x:v>1998</x:v>
      </x:c>
      <x:c r="B16" s="108">
        <x:f t="shared" si="1"/>
        <x:v>3029412433</x:v>
      </x:c>
      <x:c r="C16" s="108">
        <x:f>SUMIFS('3. 일입'!$N$7:$N$2000,'3. 일입'!$B$7:$B$2000,$A16,'3. 일입'!$N$7:$N$2000,"&lt;"&amp;0)+SUMIFS('4. 특입'!$N$6:$N$1994,'4. 특입'!$B$6:$B$1994,$A16,'4. 특입'!$N$6:$N$1994,"&lt;"&amp;0)+SUMIFS('4-1. 공특입'!$O$6:$O$1992,'4-1. 공특입'!$B$6:$B$1992,$A16,'4-1. 공특입'!$O$6:$O$1992,"&lt;"&amp;0)</x:f>
        <x:v>0</x:v>
      </x:c>
      <x:c r="D16" s="109">
        <x:f>SUMIFS('3. 일입'!$N$7:$N$2000,'3. 일입'!$B$7:$B$2000,$A16,'3. 일입'!$N$7:$N$2000,"&gt;"&amp;0)+SUMIFS('4. 특입'!$N$6:$N$1994,'4. 특입'!$B$6:$B$1994,$A16,'4. 특입'!$N$6:$N$1994,"&gt;"&amp;0)+SUMIFS('4-1. 공특입'!$O$6:$O$1992,'4-1. 공특입'!$B$6:$B$1992,$A16,'4-1. 공특입'!$O$6:$O$1992,"&gt;"&amp;0)</x:f>
        <x:v>0</x:v>
      </x:c>
      <x:c r="E16" s="110">
        <x:f t="shared" si="4"/>
        <x:v>0</x:v>
      </x:c>
      <x:c r="F16" s="542">
        <x:f>SUMIFS('3. 일출(자체)'!$P$6:$P$1989,'3. 일출(자체)'!$B$6:$B$1989,$A16,'3. 일출(자체)'!$P$6:$P$1989,"&lt;"&amp;0)+SUMIFS('3. 일출(의존)'!$P$6:P$1989,'3. 일출(의존)'!$B$6:$B$1989,$A16,'3. 일출(의존)'!$P$6:$P$1989,"&lt;"&amp;0)+SUMIFS('4. 특출'!$P$5:$P$1991,'4. 특출'!$B$5:$B$1991,$A16,'4. 특출'!$P$5:$P$1991,"&lt;"&amp;0)+SUMIFS('4-1. 공특출'!$P$5:$P$1992,'4-1. 공특출'!$B$5:$B$1992,$A16,'4-1. 공특출'!$P$5:$P$1992,"&lt;"&amp;0)</x:f>
        <x:v>0</x:v>
      </x:c>
      <x:c r="G16" s="109">
        <x:f>SUMIFS('3. 일출(자체)'!$P$6:$P$1989,'3. 일출(자체)'!$B$6:$B$1989,$A16,'3. 일출(자체)'!$P$6:$P$1989,"&gt;"&amp;0)+SUMIFS('3. 일출(의존)'!$P$6:$P$1989,'3. 일출(의존)'!$B$6:$B$1989,$A16,'3. 일출(의존)'!$P$6:$P$1989,"&gt;"&amp;0)+SUMIFS('4. 특출'!$P$5:$P$1991,'4. 특출'!$B$5:$B$1991,$A16,'4. 특출'!$P$5:$P$1991,"&gt;"&amp;0)+SUMIFS('4-1. 공특출'!$P$5:$P$1992,'4-1. 공특출'!$B$5:$B$1992,$A16,'4-1. 공특출'!$P$5:$P$1992,"&gt;"&amp;0)</x:f>
        <x:v>0</x:v>
      </x:c>
      <x:c r="H16" s="110">
        <x:f t="shared" si="2"/>
        <x:v>0</x:v>
      </x:c>
      <x:c r="I16" s="111">
        <x:f t="shared" si="3"/>
        <x:v>3029412433</x:v>
      </x:c>
      <x:c r="J16" s="17"/>
    </x:row>
    <x:row r="17" spans="1:10" ht="33" customHeight="1">
      <x:c r="A17" s="107" t="s">
        <x:v>2022</x:v>
      </x:c>
      <x:c r="B17" s="108">
        <x:f t="shared" si="1"/>
        <x:v>2367511141</x:v>
      </x:c>
      <x:c r="C17" s="108">
        <x:f>SUMIFS('3. 일입'!$N$7:$N$2000,'3. 일입'!$B$7:$B$2000,$A17,'3. 일입'!$N$7:$N$2000,"&lt;"&amp;0)+SUMIFS('4. 특입'!$N$6:$N$1994,'4. 특입'!$B$6:$B$1994,$A17,'4. 특입'!$N$6:$N$1994,"&lt;"&amp;0)+SUMIFS('4-1. 공특입'!$O$6:$O$1992,'4-1. 공특입'!$B$6:$B$1992,$A17,'4-1. 공특입'!$O$6:$O$1992,"&lt;"&amp;0)</x:f>
        <x:v>-2156025</x:v>
      </x:c>
      <x:c r="D17" s="109">
        <x:f>SUMIFS('3. 일입'!$N$7:$N$2000,'3. 일입'!$B$7:$B$2000,$A17,'3. 일입'!$N$7:$N$2000,"&gt;"&amp;0)+SUMIFS('4. 특입'!$N$6:$N$1994,'4. 특입'!$B$6:$B$1994,$A17,'4. 특입'!$N$6:$N$1994,"&gt;"&amp;0)+SUMIFS('4-1. 공특입'!$O$6:$O$1992,'4-1. 공특입'!$B$6:$B$1992,$A17,'4-1. 공특입'!$O$6:$O$1992,"&gt;"&amp;0)</x:f>
        <x:v>84100</x:v>
      </x:c>
      <x:c r="E17" s="110">
        <x:f t="shared" si="4"/>
        <x:v>-2071925</x:v>
      </x:c>
      <x:c r="F17" s="542">
        <x:f>SUMIFS('3. 일출(자체)'!$P$6:$P$1989,'3. 일출(자체)'!$B$6:$B$1989,$A17,'3. 일출(자체)'!$P$6:$P$1989,"&lt;"&amp;0)+SUMIFS('3. 일출(의존)'!$P$6:P$1989,'3. 일출(의존)'!$B$6:$B$1989,$A17,'3. 일출(의존)'!$P$6:$P$1989,"&lt;"&amp;0)+SUMIFS('4. 특출'!$P$5:$P$1991,'4. 특출'!$B$5:$B$1991,$A17,'4. 특출'!$P$5:$P$1991,"&lt;"&amp;0)+SUMIFS('4-1. 공특출'!$P$5:$P$1992,'4-1. 공특출'!$B$5:$B$1992,$A17,'4-1. 공특출'!$P$5:$P$1992,"&lt;"&amp;0)</x:f>
        <x:v>-13056490</x:v>
      </x:c>
      <x:c r="G17" s="109">
        <x:f>SUMIFS('3. 일출(자체)'!$P$6:$P$1989,'3. 일출(자체)'!$B$6:$B$1989,$A17,'3. 일출(자체)'!$P$6:$P$1989,"&gt;"&amp;0)+SUMIFS('3. 일출(의존)'!$P$6:$P$1989,'3. 일출(의존)'!$B$6:$B$1989,$A17,'3. 일출(의존)'!$P$6:$P$1989,"&gt;"&amp;0)+SUMIFS('4. 특출'!$P$5:$P$1991,'4. 특출'!$B$5:$B$1991,$A17,'4. 특출'!$P$5:$P$1991,"&gt;"&amp;0)+SUMIFS('4-1. 공특출'!$P$5:$P$1992,'4-1. 공특출'!$B$5:$B$1992,$A17,'4-1. 공특출'!$P$5:$P$1992,"&gt;"&amp;0)</x:f>
        <x:v>14715391</x:v>
      </x:c>
      <x:c r="H17" s="110">
        <x:f t="shared" si="2"/>
        <x:v>1658901</x:v>
      </x:c>
      <x:c r="I17" s="111">
        <x:f t="shared" si="3"/>
        <x:v>2369170042</x:v>
      </x:c>
      <x:c r="J17" s="17"/>
    </x:row>
    <x:row r="18" spans="1:10" ht="33" customHeight="1">
      <x:c r="A18" s="107" t="s">
        <x:v>61</x:v>
      </x:c>
      <x:c r="B18" s="108">
        <x:f>B42</x:f>
        <x:v>890727734</x:v>
      </x:c>
      <x:c r="C18" s="108">
        <x:f>SUMIFS('3. 일입'!$N$7:$N$2000,'3. 일입'!$B$7:$B$2000,$A18,'3. 일입'!$N$7:$N$2000,"&lt;"&amp;0)+SUMIFS('4. 특입'!$N$6:$N$1994,'4. 특입'!$B$6:$B$1994,$A18,'4. 특입'!$N$6:$N$1994,"&lt;"&amp;0)+SUMIFS('4-1. 공특입'!$O$6:$O$1992,'4-1. 공특입'!$B$6:$B$1992,$A18,'4-1. 공특입'!$O$6:$O$1992,"&lt;"&amp;0)</x:f>
        <x:v>0</x:v>
      </x:c>
      <x:c r="D18" s="109">
        <x:f>SUMIFS('3. 일입'!$N$7:$N$2000,'3. 일입'!$B$7:$B$2000,$A18,'3. 일입'!$N$7:$N$2000,"&gt;"&amp;0)+SUMIFS('4. 특입'!$N$6:$N$1994,'4. 특입'!$B$6:$B$1994,$A18,'4. 특입'!$N$6:$N$1994,"&gt;"&amp;0)+SUMIFS('4-1. 공특입'!$O$6:$O$1992,'4-1. 공특입'!$B$6:$B$1992,$A18,'4-1. 공특입'!$O$6:$O$1992,"&gt;"&amp;0)</x:f>
        <x:v>0</x:v>
      </x:c>
      <x:c r="E18" s="110">
        <x:f t="shared" si="4"/>
        <x:v>0</x:v>
      </x:c>
      <x:c r="F18" s="542">
        <x:f>SUMIFS('3. 일출(자체)'!$P$6:$P$1989,'3. 일출(자체)'!$B$6:$B$1989,$A18,'3. 일출(자체)'!$P$6:$P$1989,"&lt;"&amp;0)+SUMIFS('3. 일출(의존)'!$P$6:P$1989,'3. 일출(의존)'!$B$6:$B$1989,$A18,'3. 일출(의존)'!$P$6:$P$1989,"&lt;"&amp;0)+SUMIFS('4. 특출'!$P$5:$P$1991,'4. 특출'!$B$5:$B$1991,$A18,'4. 특출'!$P$5:$P$1991,"&lt;"&amp;0)+SUMIFS('4-1. 공특출'!$P$5:$P$1992,'4-1. 공특출'!$B$5:$B$1992,$A18,'4-1. 공특출'!$P$5:$P$1992,"&lt;"&amp;0)</x:f>
        <x:v>0</x:v>
      </x:c>
      <x:c r="G18" s="109">
        <x:f>SUMIFS('3. 일출(자체)'!$P$6:$P$1989,'3. 일출(자체)'!$B$6:$B$1989,$A18,'3. 일출(자체)'!$P$6:$P$1989,"&gt;"&amp;0)+SUMIFS('3. 일출(의존)'!$P$6:$P$1989,'3. 일출(의존)'!$B$6:$B$1989,$A18,'3. 일출(의존)'!$P$6:$P$1989,"&gt;"&amp;0)+SUMIFS('4. 특출'!$P$5:$P$1991,'4. 특출'!$B$5:$B$1991,$A18,'4. 특출'!$P$5:$P$1991,"&gt;"&amp;0)+SUMIFS('4-1. 공특출'!$P$5:$P$1992,'4-1. 공특출'!$B$5:$B$1992,$A18,'4-1. 공특출'!$P$5:$P$1992,"&gt;"&amp;0)</x:f>
        <x:v>0</x:v>
      </x:c>
      <x:c r="H18" s="110">
        <x:f>G18+F18</x:f>
        <x:v>0</x:v>
      </x:c>
      <x:c r="I18" s="111">
        <x:f>B18+F18+G18</x:f>
        <x:v>890727734</x:v>
      </x:c>
      <x:c r="J18" s="17"/>
    </x:row>
    <x:row r="19" spans="1:10" ht="33" customHeight="1">
      <x:c r="A19" s="112" t="s">
        <x:v>1535</x:v>
      </x:c>
      <x:c r="B19" s="113">
        <x:f>B43</x:f>
        <x:v>9354473576</x:v>
      </x:c>
      <x:c r="C19" s="113">
        <x:f>SUMIFS('3. 일입'!$N$7:$N$2000,'3. 일입'!$B$7:$B$2000,$A19,'3. 일입'!$N$7:$N$2000,"&lt;"&amp;0)+SUMIFS('4. 특입'!$N$6:$N$1994,'4. 특입'!$B$6:$B$1994,$A19,'4. 특입'!$N$6:$N$1994,"&lt;"&amp;0)+SUMIFS('4-1. 공특입'!$O$6:$O$1992,'4-1. 공특입'!$B$6:$B$1992,$A19,'4-1. 공특입'!$O$6:$O$1992,"&lt;"&amp;0)</x:f>
        <x:v>0</x:v>
      </x:c>
      <x:c r="D19" s="543">
        <x:f>SUMIFS('3. 일입'!$N$7:$N$2000,'3. 일입'!$B$7:$B$2000,$A19,'3. 일입'!$N$7:$N$2000,"&gt;"&amp;0)+SUMIFS('4. 특입'!$N$6:$N$1994,'4. 특입'!$B$6:$B$1994,$A19,'4. 특입'!$N$6:$N$1994,"&gt;"&amp;0)+SUMIFS('4-1. 공특입'!$O$6:$O$1992,'4-1. 공특입'!$B$6:$B$1992,$A19,'4-1. 공특입'!$O$6:$O$1992,"&gt;"&amp;0)</x:f>
        <x:v>0</x:v>
      </x:c>
      <x:c r="E19" s="361">
        <x:f t="shared" si="4"/>
        <x:v>0</x:v>
      </x:c>
      <x:c r="F19" s="544">
        <x:f>SUMIFS('3. 일출(자체)'!$P$6:$P$1989,'3. 일출(자체)'!$B$6:$B$1989,$A19,'3. 일출(자체)'!$P$6:$P$1989,"&lt;"&amp;0)+SUMIFS('3. 일출(의존)'!$P$6:P$1989,'3. 일출(의존)'!$B$6:$B$1989,$A19,'3. 일출(의존)'!$P$6:$P$1989,"&lt;"&amp;0)+SUMIFS('4. 특출'!$P$5:$P$1991,'4. 특출'!$B$5:$B$1991,$A19,'4. 특출'!$P$5:$P$1991,"&lt;"&amp;0)+SUMIFS('4-1. 공특출'!$P$5:$P$1992,'4-1. 공특출'!$B$5:$B$1992,$A19,'4-1. 공특출'!$P$5:$P$1992,"&lt;"&amp;0)</x:f>
        <x:v>0</x:v>
      </x:c>
      <x:c r="G19" s="543">
        <x:f>SUMIFS('3. 일출(자체)'!$P$6:$P$1989,'3. 일출(자체)'!$B$6:$B$1989,$A19,'3. 일출(자체)'!$P$6:$P$1989,"&gt;"&amp;0)+SUMIFS('3. 일출(의존)'!$P$6:$P$1989,'3. 일출(의존)'!$B$6:$B$1989,$A19,'3. 일출(의존)'!$P$6:$P$1989,"&gt;"&amp;0)+SUMIFS('4. 특출'!$P$5:$P$1991,'4. 특출'!$B$5:$B$1991,$A19,'4. 특출'!$P$5:$P$1991,"&gt;"&amp;0)+SUMIFS('4-1. 공특출'!$P$5:$P$1992,'4-1. 공특출'!$B$5:$B$1992,$A19,'4-1. 공특출'!$P$5:$P$1992,"&gt;"&amp;0)</x:f>
        <x:v>0</x:v>
      </x:c>
      <x:c r="H19" s="362">
        <x:f t="shared" si="2"/>
        <x:v>0</x:v>
      </x:c>
      <x:c r="I19" s="114">
        <x:f t="shared" si="3"/>
        <x:v>9354473576</x:v>
      </x:c>
      <x:c r="J19" s="17"/>
    </x:row>
    <x:row r="20" ht="9.75" customHeight="1"/>
    <x:row r="21" spans="1:1" ht="30" customHeight="1">
      <x:c r="A21" s="118" t="s">
        <x:v>1539</x:v>
      </x:c>
    </x:row>
    <x:row r="22" spans="9:10" ht="15" customHeight="1">
      <x:c r="I22" s="5" t="s">
        <x:v>1513</x:v>
      </x:c>
      <x:c r="J22" s="16"/>
    </x:row>
    <x:row r="23" spans="1:13" ht="24.949999999999999" customHeight="1">
      <x:c r="A23" s="927" t="s">
        <x:v>1327</x:v>
      </x:c>
      <x:c r="B23" s="927" t="s">
        <x:v>1528</x:v>
      </x:c>
      <x:c r="C23" s="927" t="s">
        <x:v>1328</x:v>
      </x:c>
      <x:c r="D23" s="927"/>
      <x:c r="E23" s="929"/>
      <x:c r="F23" s="927" t="s">
        <x:v>1324</x:v>
      </x:c>
      <x:c r="G23" s="927"/>
      <x:c r="H23" s="929"/>
      <x:c r="I23" s="927" t="s">
        <x:v>1319</x:v>
      </x:c>
      <x:c r="J23" s="11"/>
      <x:c r="K23" s="13"/>
      <x:c r="L23" s="14"/>
      <x:c r="M23" s="8"/>
    </x:row>
    <x:row r="24" spans="1:13" ht="24.949999999999999" customHeight="1">
      <x:c r="A24" s="927"/>
      <x:c r="B24" s="927"/>
      <x:c r="C24" s="119" t="s">
        <x:v>89</x:v>
      </x:c>
      <x:c r="D24" s="97" t="s">
        <x:v>93</x:v>
      </x:c>
      <x:c r="E24" s="98" t="s">
        <x:v>101</x:v>
      </x:c>
      <x:c r="F24" s="120" t="s">
        <x:v>89</x:v>
      </x:c>
      <x:c r="G24" s="97" t="s">
        <x:v>93</x:v>
      </x:c>
      <x:c r="H24" s="98" t="s">
        <x:v>101</x:v>
      </x:c>
      <x:c r="I24" s="928"/>
      <x:c r="J24" s="11"/>
      <x:c r="K24" s="9"/>
      <x:c r="L24" s="13"/>
      <x:c r="M24" s="8"/>
    </x:row>
    <x:row r="25" spans="1:13" ht="30" customHeight="1">
      <x:c r="A25" s="99" t="s">
        <x:v>96</x:v>
      </x:c>
      <x:c r="B25" s="100">
        <x:f t="shared" ref="B25:I25" si="5">SUM(B26:B27)</x:f>
        <x:v>42242001864</x:v>
      </x:c>
      <x:c r="C25" s="100">
        <x:f t="shared" si="5"/>
        <x:v>-2156025</x:v>
      </x:c>
      <x:c r="D25" s="101">
        <x:f t="shared" si="5"/>
        <x:v>84100</x:v>
      </x:c>
      <x:c r="E25" s="102">
        <x:f t="shared" si="5"/>
        <x:v>-2071925</x:v>
      </x:c>
      <x:c r="F25" s="103">
        <x:f t="shared" si="5"/>
        <x:v>-13056490</x:v>
      </x:c>
      <x:c r="G25" s="101">
        <x:f t="shared" si="5"/>
        <x:v>14715391</x:v>
      </x:c>
      <x:c r="H25" s="102">
        <x:f t="shared" si="5"/>
        <x:v>1658901</x:v>
      </x:c>
      <x:c r="I25" s="103">
        <x:f t="shared" si="5"/>
        <x:v>42243660765</x:v>
      </x:c>
      <x:c r="J25" s="17"/>
      <x:c r="K25" s="12"/>
      <x:c r="L25" s="12"/>
      <x:c r="M25" s="8"/>
    </x:row>
    <x:row r="26" spans="1:14" ht="30" customHeight="1">
      <x:c r="A26" s="115" t="s">
        <x:v>1337</x:v>
      </x:c>
      <x:c r="B26" s="116">
        <x:f>D32</x:f>
        <x:v>37646557814</x:v>
      </x:c>
      <x:c r="C26" s="104">
        <x:f>SUMIFS('3. 일입'!$N$7:$N$2000,'3. 일입'!$D$7:$D$2000,"&lt;&gt;"&amp;"",'3. 일입'!$N$7:$N$2000,"&lt;"&amp;0)</x:f>
        <x:v>-486525</x:v>
      </x:c>
      <x:c r="D26" s="116">
        <x:f>SUMIFS('3. 일입'!$N$7:$N$2000,'3. 일입'!$D$7:$D$2000,"&lt;&gt;"&amp;"",'3. 일입'!$N$7:$N$2000,"&gt;"&amp;0)</x:f>
        <x:v>84100</x:v>
      </x:c>
      <x:c r="E26" s="105">
        <x:f>D26+C26</x:f>
        <x:v>-402425</x:v>
      </x:c>
      <x:c r="F26" s="106">
        <x:f>SUMIFS('3. 일출(자체)'!$P$6:$P$1989,'3. 일출(자체)'!$D$6:$D$1989,"&lt;&gt;"&amp;"",'3. 일출(자체)'!$P$6:$P$1989,"&lt;"&amp;0)+SUMIFS('3. 일출(의존)'!$P$6:$P$1989,'3. 일출(의존)'!$D$6:$D$1989,"&lt;&gt;"&amp;"",'3. 일출(의존)'!$P$6:$P$1989,"&lt;"&amp;0)</x:f>
        <x:v>-987500</x:v>
      </x:c>
      <x:c r="G26" s="106">
        <x:f>SUMIFS('3. 일출(자체)'!$P$6:$P$1989,'3. 일출(자체)'!$D$6:$D$1989,"&lt;&gt;"&amp;"",'3. 일출(자체)'!$P$6:$P$1989,"&gt;"&amp;0)+SUMIFS('3. 일출(의존)'!$P$6:$P$1989,'3. 일출(의존)'!$D$6:$D$1989,"&lt;&gt;"&amp;"",'3. 일출(의존)'!$P$6:$P$1989,"&gt;"&amp;0)</x:f>
        <x:v>11115901</x:v>
      </x:c>
      <x:c r="H26" s="105">
        <x:f>G26+F26</x:f>
        <x:v>10128401</x:v>
      </x:c>
      <x:c r="I26" s="106">
        <x:f>B26+F26+G26</x:f>
        <x:v>37656686215</x:v>
      </x:c>
      <x:c r="J26" s="17"/>
      <x:c r="K26" s="12"/>
      <x:c r="L26" s="12"/>
      <x:c r="M26" s="94"/>
      <x:c r="N26" s="26"/>
    </x:row>
    <x:row r="27" spans="1:13" ht="30" customHeight="1">
      <x:c r="A27" s="112" t="s">
        <x:v>491</x:v>
      </x:c>
      <x:c r="B27" s="113">
        <x:f>E32+F32</x:f>
        <x:v>4595444050</x:v>
      </x:c>
      <x:c r="C27" s="113">
        <x:f>SUMIFS('4. 특입'!$N$6:$N$1000,'4. 특입'!$D$6:$D$1000,"&lt;&gt;"&amp;"",'4. 특입'!$N$6:$N$1000,"&lt;"&amp;0)+SUMIFS('4-1. 공특입'!$O$6:$O$998,'4-1. 공특입'!$D$6:$D$998,"&lt;&gt;"&amp;"",'4-1. 공특입'!$O$6:$O$998,"&lt;"&amp;0)</x:f>
        <x:v>-1669500</x:v>
      </x:c>
      <x:c r="D27" s="117">
        <x:f>SUMIFS('4. 특입'!$N$6:$N$1000,'4. 특입'!$D$6:$D$1000,"&lt;&gt;"&amp;"",'4. 특입'!$N$6:$N$1000,"&gt;"&amp;0)+SUMIFS('4-1. 공특입'!$O$6:$O$998,'4-1. 공특입'!$D$6:$D$998,"&lt;&gt;"&amp;"",'4-1. 공특입'!$O$6:$O$998,"&gt;"&amp;0)</x:f>
        <x:v>0</x:v>
      </x:c>
      <x:c r="E27" s="362">
        <x:f>D27+C27</x:f>
        <x:v>-1669500</x:v>
      </x:c>
      <x:c r="F27" s="114">
        <x:f>SUMIFS('4. 특출'!$P$5:$P$995,'4. 특출'!$D$5:$D$995,"&lt;&gt;"&amp;"",'4. 특출'!$P$5:$P$995,"&lt;"&amp;0)+SUMIFS('4-1. 공특출'!$P$5:$P$996,'4-1. 공특출'!$D$5:$D$996,"&lt;&gt;"&amp;"",'4-1. 공특출'!$P$5:$P$996,"&lt;"&amp;0)</x:f>
        <x:v>-12068990</x:v>
      </x:c>
      <x:c r="G27" s="117">
        <x:f>SUMIFS('4. 특출'!$P$5:$P$995,'4. 특출'!$D$5:$D$995,"&lt;&gt;"&amp;"",'4. 특출'!$P$5:$P$995,"&gt;"&amp;0)+SUMIFS('4-1. 공특출'!$P$5:$P$996,'4-1. 공특출'!$D$5:$D$996,"&lt;&gt;"&amp;"",'4-1. 공특출'!$P$5:$P$996,"&gt;"&amp;0)</x:f>
        <x:v>3599490</x:v>
      </x:c>
      <x:c r="H27" s="362">
        <x:f>G27+F27</x:f>
        <x:v>-8469500</x:v>
      </x:c>
      <x:c r="I27" s="114">
        <x:f>B27+F27+G27</x:f>
        <x:v>4586974550</x:v>
      </x:c>
      <x:c r="J27" s="17"/>
      <x:c r="K27" s="12"/>
      <x:c r="L27" s="12"/>
      <x:c r="M27" s="8"/>
    </x:row>
    <x:row r="28" ht="19.5" hidden="1" customHeight="1"/>
    <x:row r="29" spans="4:13" customHeight="1">
      <x:c r="D29" s="559"/>
      <x:c r="M29" s="26"/>
    </x:row>
    <x:row r="30" spans="1:9" customHeight="1">
      <x:c r="A30" s="19" t="s">
        <x:v>14</x:v>
      </x:c>
      <x:c r="H30" s="559"/>
      <x:c r="I30" s="559"/>
    </x:row>
    <x:row r="31" spans="1:6" customHeight="1">
      <x:c r="A31" s="126" t="s">
        <x:v>1933</x:v>
      </x:c>
      <x:c r="B31" s="126" t="s">
        <x:v>109</x:v>
      </x:c>
      <x:c r="C31" s="126" t="s">
        <x:v>501</x:v>
      </x:c>
      <x:c r="D31" s="126" t="s">
        <x:v>1337</x:v>
      </x:c>
      <x:c r="E31" s="126" t="s">
        <x:v>480</x:v>
      </x:c>
      <x:c r="F31" s="126" t="s">
        <x:v>488</x:v>
      </x:c>
    </x:row>
    <x:row r="32" spans="1:12" customHeight="1">
      <x:c r="A32" s="125" t="s">
        <x:v>96</x:v>
      </x:c>
      <x:c r="B32" s="124">
        <x:f>SUM(B33:B43)</x:f>
        <x:v>42242001864</x:v>
      </x:c>
      <x:c r="C32" s="124">
        <x:f>SUM(C33:C43)</x:f>
        <x:v>42187089624</x:v>
      </x:c>
      <x:c r="D32" s="124">
        <x:f>SUM(D33:D43)</x:f>
        <x:v>37646557814</x:v>
      </x:c>
      <x:c r="E32" s="124">
        <x:f>SUM(E33:E43)</x:f>
        <x:v>4540531810</x:v>
      </x:c>
      <x:c r="F32" s="124">
        <x:f>SUM(F33:F43)</x:f>
        <x:v>54912240</x:v>
      </x:c>
      <x:c r="H32" s="442"/>
      <x:c r="I32" s="442"/>
      <x:c r="J32" s="442"/>
      <x:c r="K32" s="442"/>
      <x:c r="L32" s="442"/>
    </x:row>
    <x:row r="33" spans="1:12" customHeight="1">
      <x:c r="A33" s="123" t="s">
        <x:v>1956</x:v>
      </x:c>
      <x:c r="B33" s="121">
        <x:f t="shared" ref="B33:B43" si="6">SUM(D33:F33)</x:f>
        <x:v>129702008</x:v>
      </x:c>
      <x:c r="C33" s="121">
        <x:f t="shared" ref="C33:C41" si="7">D33+E33</x:f>
        <x:v>129702008</x:v>
      </x:c>
      <x:c r="D33" s="121">
        <x:v>129702008</x:v>
      </x:c>
      <x:c r="E33" s="121">
        <x:v>0</x:v>
      </x:c>
      <x:c r="F33" s="624">
        <x:v>0</x:v>
      </x:c>
      <x:c r="H33" s="442"/>
      <x:c r="I33" s="442"/>
      <x:c r="J33" s="442"/>
      <x:c r="K33" s="442"/>
      <x:c r="L33" s="442"/>
    </x:row>
    <x:row r="34" spans="1:12" customHeight="1">
      <x:c r="A34" s="123" t="s">
        <x:v>1937</x:v>
      </x:c>
      <x:c r="B34" s="121">
        <x:f t="shared" si="6"/>
        <x:v>5932148107</x:v>
      </x:c>
      <x:c r="C34" s="121">
        <x:f t="shared" si="7"/>
        <x:v>5932148107</x:v>
      </x:c>
      <x:c r="D34" s="121">
        <x:v>5892712561</x:v>
      </x:c>
      <x:c r="E34" s="121">
        <x:v>39435546</x:v>
      </x:c>
      <x:c r="F34" s="624">
        <x:v>0</x:v>
      </x:c>
      <x:c r="H34" s="442"/>
      <x:c r="I34" s="442"/>
      <x:c r="J34" s="442"/>
      <x:c r="K34" s="442"/>
      <x:c r="L34" s="442"/>
    </x:row>
    <x:row r="35" spans="1:12" customHeight="1">
      <x:c r="A35" s="123" t="s">
        <x:v>519</x:v>
      </x:c>
      <x:c r="B35" s="121">
        <x:f t="shared" si="6"/>
        <x:v>474872242</x:v>
      </x:c>
      <x:c r="C35" s="121">
        <x:f t="shared" si="7"/>
        <x:v>474872242</x:v>
      </x:c>
      <x:c r="D35" s="121">
        <x:v>474872242</x:v>
      </x:c>
      <x:c r="E35" s="121">
        <x:v>0</x:v>
      </x:c>
      <x:c r="F35" s="624">
        <x:v>0</x:v>
      </x:c>
      <x:c r="H35" s="442"/>
      <x:c r="I35" s="442"/>
      <x:c r="J35" s="442"/>
      <x:c r="K35" s="442"/>
      <x:c r="L35" s="442"/>
    </x:row>
    <x:row r="36" spans="1:12" customHeight="1">
      <x:c r="A36" s="123" t="s">
        <x:v>1938</x:v>
      </x:c>
      <x:c r="B36" s="121">
        <x:f t="shared" si="6"/>
        <x:v>4269846310</x:v>
      </x:c>
      <x:c r="C36" s="121">
        <x:f t="shared" si="7"/>
        <x:v>4269846310</x:v>
      </x:c>
      <x:c r="D36" s="121">
        <x:v>2662231278</x:v>
      </x:c>
      <x:c r="E36" s="121">
        <x:v>1607615032</x:v>
      </x:c>
      <x:c r="F36" s="624">
        <x:v>0</x:v>
      </x:c>
      <x:c r="H36" s="442"/>
      <x:c r="I36" s="442"/>
      <x:c r="J36" s="442"/>
      <x:c r="K36" s="442"/>
      <x:c r="L36" s="442"/>
    </x:row>
    <x:row r="37" spans="1:12" customHeight="1">
      <x:c r="A37" s="123" t="s">
        <x:v>1512</x:v>
      </x:c>
      <x:c r="B37" s="121">
        <x:f t="shared" si="6"/>
        <x:v>554871567</x:v>
      </x:c>
      <x:c r="C37" s="121">
        <x:f t="shared" si="7"/>
        <x:v>554871567</x:v>
      </x:c>
      <x:c r="D37" s="121">
        <x:v>554871567</x:v>
      </x:c>
      <x:c r="E37" s="121">
        <x:v>0</x:v>
      </x:c>
      <x:c r="F37" s="624">
        <x:v>0</x:v>
      </x:c>
      <x:c r="H37" s="442"/>
      <x:c r="I37" s="442"/>
      <x:c r="J37" s="442"/>
      <x:c r="K37" s="442"/>
      <x:c r="L37" s="442"/>
    </x:row>
    <x:row r="38" spans="1:12" customHeight="1">
      <x:c r="A38" s="123" t="s">
        <x:v>2005</x:v>
      </x:c>
      <x:c r="B38" s="121">
        <x:f t="shared" si="6"/>
        <x:v>1195877261</x:v>
      </x:c>
      <x:c r="C38" s="121">
        <x:f t="shared" si="7"/>
        <x:v>1195877261</x:v>
      </x:c>
      <x:c r="D38" s="121">
        <x:v>1195877261</x:v>
      </x:c>
      <x:c r="E38" s="121">
        <x:v>0</x:v>
      </x:c>
      <x:c r="F38" s="624">
        <x:v>0</x:v>
      </x:c>
      <x:c r="H38" s="442"/>
      <x:c r="I38" s="442"/>
      <x:c r="J38" s="442"/>
      <x:c r="K38" s="442"/>
      <x:c r="L38" s="442"/>
    </x:row>
    <x:row r="39" spans="1:12" customHeight="1">
      <x:c r="A39" s="123" t="s">
        <x:v>2020</x:v>
      </x:c>
      <x:c r="B39" s="121">
        <x:f t="shared" si="6"/>
        <x:v>14042559485</x:v>
      </x:c>
      <x:c r="C39" s="121">
        <x:f t="shared" si="7"/>
        <x:v>14042559485</x:v>
      </x:c>
      <x:c r="D39" s="121">
        <x:v>11595408031</x:v>
      </x:c>
      <x:c r="E39" s="121">
        <x:v>2447151454</x:v>
      </x:c>
      <x:c r="F39" s="624">
        <x:v>0</x:v>
      </x:c>
      <x:c r="H39" s="442"/>
      <x:c r="I39" s="442"/>
      <x:c r="J39" s="442"/>
      <x:c r="K39" s="442"/>
      <x:c r="L39" s="442"/>
    </x:row>
    <x:row r="40" spans="1:12" customHeight="1">
      <x:c r="A40" s="123" t="s">
        <x:v>1998</x:v>
      </x:c>
      <x:c r="B40" s="121">
        <x:f t="shared" si="6"/>
        <x:v>3029412433</x:v>
      </x:c>
      <x:c r="C40" s="121">
        <x:f t="shared" si="7"/>
        <x:v>3029412433</x:v>
      </x:c>
      <x:c r="D40" s="121">
        <x:v>2869836504</x:v>
      </x:c>
      <x:c r="E40" s="121">
        <x:v>159575929</x:v>
      </x:c>
      <x:c r="F40" s="624">
        <x:v>0</x:v>
      </x:c>
      <x:c r="H40" s="442"/>
      <x:c r="I40" s="442"/>
      <x:c r="J40" s="442"/>
      <x:c r="K40" s="442"/>
      <x:c r="L40" s="442"/>
    </x:row>
    <x:row r="41" spans="1:12" ht="19.5" customHeight="1">
      <x:c r="A41" s="123" t="s">
        <x:v>2022</x:v>
      </x:c>
      <x:c r="B41" s="121">
        <x:f t="shared" si="6"/>
        <x:v>2367511141</x:v>
      </x:c>
      <x:c r="C41" s="121">
        <x:f t="shared" si="7"/>
        <x:v>2345220241</x:v>
      </x:c>
      <x:c r="D41" s="121">
        <x:v>2170913256</x:v>
      </x:c>
      <x:c r="E41" s="121">
        <x:v>174306985</x:v>
      </x:c>
      <x:c r="F41" s="624">
        <x:v>22290900</x:v>
      </x:c>
      <x:c r="H41" s="442"/>
      <x:c r="I41" s="442"/>
      <x:c r="J41" s="442"/>
      <x:c r="K41" s="442"/>
      <x:c r="L41" s="442"/>
    </x:row>
    <x:row r="42" spans="1:12" ht="19.5" customHeight="1">
      <x:c r="A42" s="123" t="s">
        <x:v>61</x:v>
      </x:c>
      <x:c r="B42" s="121">
        <x:f>SUM(D42:F42)</x:f>
        <x:v>890727734</x:v>
      </x:c>
      <x:c r="C42" s="121">
        <x:f t="shared" ref="C42:C43" si="8">D42+E42</x:f>
        <x:v>858106394</x:v>
      </x:c>
      <x:c r="D42" s="121">
        <x:v>858106394</x:v>
      </x:c>
      <x:c r="E42" s="121">
        <x:v>0</x:v>
      </x:c>
      <x:c r="F42" s="624">
        <x:v>32621340</x:v>
      </x:c>
      <x:c r="H42" s="442"/>
      <x:c r="I42" s="442"/>
      <x:c r="J42" s="442"/>
      <x:c r="K42" s="442"/>
      <x:c r="L42" s="442"/>
    </x:row>
    <x:row r="43" spans="1:12" customHeight="1">
      <x:c r="A43" s="123" t="s">
        <x:v>1535</x:v>
      </x:c>
      <x:c r="B43" s="121">
        <x:f t="shared" si="6"/>
        <x:v>9354473576</x:v>
      </x:c>
      <x:c r="C43" s="121">
        <x:f t="shared" si="8"/>
        <x:v>9354473576</x:v>
      </x:c>
      <x:c r="D43" s="121">
        <x:v>9242026712</x:v>
      </x:c>
      <x:c r="E43" s="121">
        <x:v>112446864</x:v>
      </x:c>
      <x:c r="F43" s="624">
        <x:v>0</x:v>
      </x:c>
      <x:c r="H43" s="442"/>
      <x:c r="I43" s="442"/>
      <x:c r="J43" s="442"/>
      <x:c r="K43" s="442"/>
      <x:c r="L43" s="442"/>
    </x:row>
    <x:row r="44" spans="4:6" customHeight="1">
      <x:c r="D44" s="242"/>
      <x:c r="E44" s="242" t="s">
        <x:v>100</x:v>
      </x:c>
      <x:c r="F44" s="242"/>
    </x:row>
    <x:row r="45" spans="1:3" customHeight="1">
      <x:c r="A45" s="122" t="s">
        <x:v>92</x:v>
      </x:c>
      <x:c r="B45" s="121">
        <x:v>42834815</x:v>
      </x:c>
      <x:c r="C45" s="121"/>
    </x:row>
    <x:row r="481" spans="21:21" customHeight="1">
      <x:c r="U481" s="72"/>
    </x:row>
    <x:row r="482" spans="21:21" customHeight="1">
      <x:c r="U482" s="72"/>
    </x:row>
    <x:row r="483" spans="21:21" customHeight="1">
      <x:c r="U483" s="72"/>
    </x:row>
    <x:row r="484" spans="21:21" customHeight="1">
      <x:c r="U484" s="72"/>
    </x:row>
  </x:sheetData>
  <x:mergeCells count="13">
    <x:mergeCell ref="A2:I2"/>
    <x:mergeCell ref="T5:T6"/>
    <x:mergeCell ref="O9:O10"/>
    <x:mergeCell ref="A6:A7"/>
    <x:mergeCell ref="B6:B7"/>
    <x:mergeCell ref="I6:I7"/>
    <x:mergeCell ref="C6:E6"/>
    <x:mergeCell ref="F6:H6"/>
    <x:mergeCell ref="A23:A24"/>
    <x:mergeCell ref="B23:B24"/>
    <x:mergeCell ref="I23:I24"/>
    <x:mergeCell ref="C23:E23"/>
    <x:mergeCell ref="F23:H23"/>
  </x:mergeCell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100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c000"/>
    <x:pageSetUpPr autoPageBreaks="1" fitToPage="1"/>
  </x:sheetPr>
  <x:dimension ref="A1:Z478"/>
  <x:sheetViews>
    <x:sheetView view="pageBreakPreview" topLeftCell="A1" zoomScale="85" zoomScaleNormal="100" zoomScaleSheetLayoutView="85" workbookViewId="0">
      <x:selection activeCell="L8" activeCellId="0" sqref="L8:L8"/>
    </x:sheetView>
  </x:sheetViews>
  <x:sheetFormatPr defaultColWidth="9.00390625" defaultRowHeight="30" customHeight="1"/>
  <x:cols>
    <x:col min="1" max="1" width="7.625" style="1" customWidth="1"/>
    <x:col min="6" max="7" width="0" style="1" hidden="1" customWidth="1"/>
    <x:col min="11" max="11" width="20.125" style="1" customWidth="1"/>
    <x:col min="17" max="18" width="20" style="1" customWidth="1"/>
    <x:col min="20" max="20" width="40.625" style="1" customWidth="1"/>
  </x:cols>
  <x:sheetData>
    <x:row r="1" spans="1:16" ht="39.950000000000003" customHeight="1">
      <x:c r="A1" s="3"/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P1" s="73"/>
    </x:row>
    <x:row r="2" spans="1:26" ht="39.75" customHeight="1">
      <x:c r="A2" s="3"/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  <x:c r="O2" s="75"/>
      <x:c r="T2" s="916"/>
      <x:c r="U2" s="1" t="s">
        <x:v>1513</x:v>
      </x:c>
      <x:c r="Z2" s="185" t="s">
        <x:v>1513</x:v>
      </x:c>
    </x:row>
    <x:row r="3" spans="1:20" ht="24.75" customHeight="1">
      <x:c r="A3" s="3"/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  <x:c r="T3" s="916"/>
    </x:row>
    <x:row r="4" spans="1:13" ht="46.5" customHeight="1">
      <x:c r="A4" s="917" t="s">
        <x:v>86</x:v>
      </x:c>
      <x:c r="B4" s="917"/>
      <x:c r="C4" s="917"/>
      <x:c r="D4" s="917"/>
      <x:c r="E4" s="917"/>
      <x:c r="F4" s="917"/>
      <x:c r="G4" s="917"/>
      <x:c r="H4" s="917"/>
      <x:c r="I4" s="917"/>
      <x:c r="J4" s="917"/>
      <x:c r="K4" s="917"/>
      <x:c r="L4" s="917"/>
      <x:c r="M4" s="917"/>
    </x:row>
    <x:row r="5" spans="1:13" s="4" customFormat="1" ht="60" customHeight="1">
      <x:c r="A5" s="918" t="s">
        <x:v>1627</x:v>
      </x:c>
      <x:c r="B5" s="919"/>
      <x:c r="C5" s="919"/>
      <x:c r="D5" s="919"/>
      <x:c r="E5" s="919"/>
      <x:c r="F5" s="919"/>
      <x:c r="G5" s="919"/>
      <x:c r="H5" s="919"/>
      <x:c r="I5" s="919"/>
      <x:c r="J5" s="919"/>
      <x:c r="K5" s="919"/>
      <x:c r="L5" s="919"/>
      <x:c r="M5" s="919"/>
    </x:row>
    <x:row r="6" spans="1:13" ht="39.950000000000003" customHeight="1">
      <x:c r="A6" s="920"/>
      <x:c r="B6" s="920"/>
      <x:c r="C6" s="920"/>
      <x:c r="D6" s="920"/>
      <x:c r="E6" s="920"/>
      <x:c r="F6" s="920"/>
      <x:c r="G6" s="920"/>
      <x:c r="H6" s="920"/>
      <x:c r="I6" s="920"/>
      <x:c r="J6" s="920"/>
      <x:c r="K6" s="920"/>
      <x:c r="L6" s="920"/>
      <x:c r="M6" s="920"/>
    </x:row>
    <x:row r="7" spans="1:13" ht="39.950000000000003" customHeight="1">
      <x:c r="A7" s="3"/>
      <x:c r="C7" s="25"/>
      <x:c r="D7" s="3"/>
      <x:c r="E7" s="3"/>
      <x:c r="G7" s="3"/>
      <x:c r="H7" s="3"/>
      <x:c r="I7" s="3"/>
      <x:c r="J7" s="3"/>
      <x:c r="K7" s="3"/>
      <x:c r="L7" s="3"/>
      <x:c r="M7" s="3"/>
    </x:row>
    <x:row r="8" spans="1:13" ht="39.950000000000003" customHeight="1">
      <x:c r="A8" s="3"/>
      <x:c r="B8" s="3"/>
      <x:c r="C8" s="3"/>
      <x:c r="D8" s="3"/>
      <x:c r="E8" s="3"/>
      <x:c r="F8" s="3"/>
      <x:c r="G8" s="3"/>
      <x:c r="H8" s="3"/>
      <x:c r="I8" s="3"/>
      <x:c r="J8" s="3"/>
      <x:c r="K8" s="3"/>
      <x:c r="L8" s="3"/>
      <x:c r="M8" s="3"/>
    </x:row>
    <x:row r="9" spans="1:13" ht="39.950000000000003" customHeight="1">
      <x:c r="A9" s="3"/>
      <x:c r="B9" s="3"/>
      <x:c r="C9" s="3"/>
      <x:c r="D9" s="3"/>
      <x:c r="E9" s="3"/>
      <x:c r="F9" s="3"/>
      <x:c r="G9" s="3"/>
      <x:c r="H9" s="3"/>
      <x:c r="I9" s="3"/>
      <x:c r="J9" s="3"/>
      <x:c r="K9" s="3"/>
      <x:c r="L9" s="3"/>
      <x:c r="M9" s="3"/>
    </x:row>
    <x:row r="10" spans="1:13" ht="39.950000000000003" customHeight="1">
      <x:c r="A10" s="3"/>
      <x:c r="B10" s="3"/>
      <x:c r="C10" s="3"/>
      <x:c r="D10" s="3"/>
      <x:c r="E10" s="3"/>
      <x:c r="F10" s="3"/>
      <x:c r="G10" s="3"/>
      <x:c r="H10" s="3"/>
      <x:c r="I10" s="3" t="s">
        <x:v>100</x:v>
      </x:c>
      <x:c r="J10" s="3"/>
      <x:c r="K10" s="3"/>
      <x:c r="L10" s="3"/>
      <x:c r="M10" s="3"/>
    </x:row>
    <x:row r="11" spans="1:13" ht="39.950000000000003" customHeight="1">
      <x:c r="A11" s="3"/>
      <x:c r="B11" s="3"/>
      <x:c r="C11" s="3"/>
      <x:c r="D11" s="3"/>
      <x:c r="E11" s="3"/>
      <x:c r="F11" s="3"/>
      <x:c r="G11" s="3"/>
      <x:c r="H11" s="3"/>
      <x:c r="I11" s="3"/>
      <x:c r="J11" s="3"/>
      <x:c r="K11" s="3"/>
      <x:c r="L11" s="3"/>
      <x:c r="M11" s="3"/>
    </x:row>
    <x:row r="12" spans="1:13" ht="39.950000000000003" customHeight="1">
      <x:c r="A12" s="3"/>
      <x:c r="B12" s="3"/>
      <x:c r="C12" s="3"/>
      <x:c r="D12" s="3"/>
      <x:c r="E12" s="3"/>
      <x:c r="F12" s="3"/>
      <x:c r="G12" s="3"/>
      <x:c r="H12" s="3"/>
      <x:c r="I12" s="3" t="s">
        <x:v>100</x:v>
      </x:c>
      <x:c r="J12" s="3"/>
      <x:c r="K12" s="3"/>
      <x:c r="L12" s="3"/>
      <x:c r="M12" s="3"/>
    </x:row>
    <x:row r="13" spans="1:13" ht="39.950000000000003" customHeight="1">
      <x:c r="A13" s="3"/>
      <x:c r="B13" s="3"/>
      <x:c r="C13" s="3"/>
      <x:c r="D13" s="3"/>
      <x:c r="E13" s="3"/>
      <x:c r="F13" s="3"/>
      <x:c r="G13" s="3"/>
      <x:c r="H13" s="3"/>
      <x:c r="I13" s="3"/>
      <x:c r="J13" s="3"/>
      <x:c r="K13" s="3"/>
      <x:c r="L13" s="3"/>
      <x:c r="M13" s="3"/>
    </x:row>
    <x:row r="14" spans="1:13" ht="39.950000000000003" customHeight="1">
      <x:c r="A14" s="3"/>
      <x:c r="B14" s="3"/>
      <x:c r="C14" s="3"/>
      <x:c r="D14" s="3"/>
      <x:c r="E14" s="3"/>
      <x:c r="F14" s="3"/>
      <x:c r="G14" s="3"/>
      <x:c r="H14" s="3"/>
      <x:c r="I14" s="3"/>
      <x:c r="J14" s="3"/>
      <x:c r="K14" s="3"/>
      <x:c r="L14" s="3"/>
      <x:c r="M14" s="3"/>
    </x:row>
    <x:row r="15" spans="1:13" ht="39.950000000000003" customHeight="1">
      <x:c r="A15" s="921" t="s">
        <x:v>1461</x:v>
      </x:c>
      <x:c r="B15" s="921"/>
      <x:c r="C15" s="921"/>
      <x:c r="D15" s="921"/>
      <x:c r="E15" s="921"/>
      <x:c r="F15" s="921"/>
      <x:c r="G15" s="921"/>
      <x:c r="H15" s="921"/>
      <x:c r="I15" s="921"/>
      <x:c r="J15" s="921"/>
      <x:c r="K15" s="921"/>
      <x:c r="L15" s="921"/>
      <x:c r="M15" s="921"/>
    </x:row>
    <x:row r="19" ht="36" customHeight="1"/>
    <x:row r="475" spans="21:21" customHeight="1">
      <x:c r="U475" s="72"/>
    </x:row>
    <x:row r="476" spans="21:21" customHeight="1">
      <x:c r="U476" s="72"/>
    </x:row>
    <x:row r="477" spans="21:21" customHeight="1">
      <x:c r="U477" s="72"/>
    </x:row>
    <x:row r="478" spans="21:21" customHeight="1">
      <x:c r="U478" s="72"/>
    </x:row>
  </x:sheetData>
  <x:mergeCells count="5">
    <x:mergeCell ref="T2:T3"/>
    <x:mergeCell ref="A5:M5"/>
    <x:mergeCell ref="A15:M15"/>
    <x:mergeCell ref="A4:M4"/>
    <x:mergeCell ref="A6:M6"/>
  </x:mergeCell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100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  <x: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ffc000"/>
    <x:pageSetUpPr autoPageBreaks="1" fitToPage="1"/>
  </x:sheetPr>
  <x:dimension ref="A2:Z484"/>
  <x:sheetViews>
    <x:sheetView view="pageBreakPreview" topLeftCell="A1" zoomScaleNormal="100" zoomScaleSheetLayoutView="100" workbookViewId="0">
      <x:selection activeCell="D13" activeCellId="0" sqref="D13:D13"/>
    </x:sheetView>
  </x:sheetViews>
  <x:sheetFormatPr defaultColWidth="9.00390625" defaultRowHeight="20.100000000000001" customHeight="1"/>
  <x:cols>
    <x:col min="1" max="1" width="22.625" style="1" customWidth="1"/>
    <x:col min="2" max="2" width="17.125" style="1" customWidth="1"/>
    <x:col min="3" max="3" width="12.875" style="1" bestFit="1" customWidth="1"/>
    <x:col min="4" max="4" width="17.25" style="1" customWidth="1"/>
    <x:col min="5" max="5" width="12.75" style="1" customWidth="1"/>
    <x:col min="6" max="6" width="13.375" style="1" customWidth="1"/>
    <x:col min="7" max="7" width="17.875" style="1" customWidth="1"/>
    <x:col min="8" max="8" width="13.625" style="1" bestFit="1" customWidth="1"/>
    <x:col min="9" max="9" width="12.875" style="1" bestFit="1" customWidth="1"/>
    <x:col min="10" max="10" width="4.75" style="6" customWidth="1"/>
    <x:col min="11" max="11" width="20.125" style="1" customWidth="1"/>
    <x:col min="12" max="15" width="15.625" style="1" customWidth="1"/>
    <x:col min="17" max="18" width="20" style="1" customWidth="1"/>
    <x:col min="20" max="20" width="40.625" style="1" customWidth="1"/>
  </x:cols>
  <x:sheetData>
    <x:row r="2" spans="1:26" ht="39.75" customHeight="1">
      <x:c r="A2" s="922" t="s">
        <x:v>558</x:v>
      </x:c>
      <x:c r="B2" s="923"/>
      <x:c r="C2" s="923"/>
      <x:c r="D2" s="923"/>
      <x:c r="E2" s="923"/>
      <x:c r="F2" s="923"/>
      <x:c r="G2" s="923"/>
      <x:c r="H2" s="923"/>
      <x:c r="I2" s="924"/>
      <x:c r="J2" s="15"/>
      <x:c r="Z2" s="185"/>
    </x:row>
    <x:row r="3" spans="1:10" ht="15" customHeight="1">
      <x:c r="A3" s="76"/>
      <x:c r="B3" s="76"/>
      <x:c r="C3" s="76"/>
      <x:c r="D3" s="76"/>
      <x:c r="E3" s="76"/>
      <x:c r="F3" s="76"/>
      <x:c r="G3" s="76"/>
      <x:c r="H3" s="76"/>
      <x:c r="I3" s="76"/>
      <x:c r="J3" s="15"/>
    </x:row>
    <x:row r="4" spans="1:1" ht="30.75" customHeight="1">
      <x:c r="A4" s="149" t="s">
        <x:v>1540</x:v>
      </x:c>
    </x:row>
    <x:row r="5" spans="1:20" ht="15" customHeight="1">
      <x:c r="A5" s="1" t="s">
        <x:v>100</x:v>
      </x:c>
      <x:c r="C5" s="8"/>
      <x:c r="D5" s="8"/>
      <x:c r="E5" s="8"/>
      <x:c r="F5" s="10"/>
      <x:c r="G5" s="12"/>
      <x:c r="H5" s="8"/>
      <x:c r="I5" s="5" t="s">
        <x:v>1513</x:v>
      </x:c>
      <x:c r="J5" s="16"/>
      <x:c r="T5" s="916"/>
    </x:row>
    <x:row r="6" spans="1:20" ht="24.949999999999999" customHeight="1">
      <x:c r="A6" s="930" t="s">
        <x:v>1327</x:v>
      </x:c>
      <x:c r="B6" s="930" t="s">
        <x:v>1528</x:v>
      </x:c>
      <x:c r="C6" s="930" t="s">
        <x:v>1328</x:v>
      </x:c>
      <x:c r="D6" s="930"/>
      <x:c r="E6" s="931"/>
      <x:c r="F6" s="930" t="s">
        <x:v>1324</x:v>
      </x:c>
      <x:c r="G6" s="930"/>
      <x:c r="H6" s="931"/>
      <x:c r="I6" s="930" t="s">
        <x:v>1319</x:v>
      </x:c>
      <x:c r="J6" s="11"/>
      <x:c r="K6" s="7" t="s">
        <x:v>1530</x:v>
      </x:c>
      <x:c r="L6" s="18"/>
      <x:c r="M6" s="18"/>
      <x:c r="N6" s="18"/>
      <x:c r="O6" s="18"/>
      <x:c r="T6" s="916"/>
    </x:row>
    <x:row r="7" spans="1:15" ht="24.949999999999999" customHeight="1">
      <x:c r="A7" s="930"/>
      <x:c r="B7" s="930"/>
      <x:c r="C7" s="536" t="s">
        <x:v>89</x:v>
      </x:c>
      <x:c r="D7" s="146" t="s">
        <x:v>93</x:v>
      </x:c>
      <x:c r="E7" s="145" t="s">
        <x:v>101</x:v>
      </x:c>
      <x:c r="F7" s="537" t="s">
        <x:v>89</x:v>
      </x:c>
      <x:c r="G7" s="146" t="s">
        <x:v>93</x:v>
      </x:c>
      <x:c r="H7" s="145" t="s">
        <x:v>101</x:v>
      </x:c>
      <x:c r="I7" s="932"/>
      <x:c r="J7" s="11"/>
      <x:c r="K7" s="126" t="s">
        <x:v>1327</x:v>
      </x:c>
      <x:c r="L7" s="126" t="s">
        <x:v>111</x:v>
      </x:c>
      <x:c r="M7" s="126" t="s">
        <x:v>90</x:v>
      </x:c>
      <x:c r="N7" s="126" t="s">
        <x:v>92</x:v>
      </x:c>
      <x:c r="O7" s="126" t="s">
        <x:v>493</x:v>
      </x:c>
    </x:row>
    <x:row r="8" spans="1:15" ht="30" customHeight="1">
      <x:c r="A8" s="144" t="s">
        <x:v>96</x:v>
      </x:c>
      <x:c r="B8" s="143">
        <x:f t="shared" ref="B8:I8" si="0">SUM(B9:B19)</x:f>
        <x:v>42242001864</x:v>
      </x:c>
      <x:c r="C8" s="143">
        <x:f t="shared" si="0"/>
        <x:v>0</x:v>
      </x:c>
      <x:c r="D8" s="142">
        <x:f t="shared" si="0"/>
        <x:v>0</x:v>
      </x:c>
      <x:c r="E8" s="141">
        <x:f t="shared" si="0"/>
        <x:v>0</x:v>
      </x:c>
      <x:c r="F8" s="140">
        <x:f t="shared" si="0"/>
        <x:v>0</x:v>
      </x:c>
      <x:c r="G8" s="142">
        <x:f t="shared" si="0"/>
        <x:v>0</x:v>
      </x:c>
      <x:c r="H8" s="141">
        <x:f t="shared" si="0"/>
        <x:v>0</x:v>
      </x:c>
      <x:c r="I8" s="140">
        <x:f t="shared" si="0"/>
        <x:v>42242001864</x:v>
      </x:c>
      <x:c r="J8" s="17"/>
      <x:c r="K8" s="125" t="s">
        <x:v>96</x:v>
      </x:c>
      <x:c r="L8" s="124">
        <x:f>SUM(L9:L10)</x:f>
        <x:v>0</x:v>
      </x:c>
      <x:c r="M8" s="124">
        <x:f>SUM(M9:M10)</x:f>
        <x:v>0</x:v>
      </x:c>
      <x:c r="N8" s="129">
        <x:f>L8-M8</x:f>
        <x:v>0</x:v>
      </x:c>
      <x:c r="O8" s="128"/>
    </x:row>
    <x:row r="9" spans="1:15" ht="30" customHeight="1">
      <x:c r="A9" s="139" t="s">
        <x:v>1956</x:v>
      </x:c>
      <x:c r="B9" s="138">
        <x:f t="shared" ref="B9:B17" si="1">B33</x:f>
        <x:v>129702008</x:v>
      </x:c>
      <x:c r="C9" s="138">
        <x:f>SUMIFS('3. 일입'!$P$7:$P$2000,'3. 일입'!$B$7:$B$2000,$A9,'3. 일입'!$P$7:$P$2000,"&lt;"&amp;0)+SUMIFS('4. 특입'!$P$6:$P$1994,'4. 특입'!$B$6:$B$1994,$A9,'4. 특입'!$P$6:$P$1994,"&lt;"&amp;0)+SUMIFS('4-1. 공특입'!$Q$6:$Q$1992,'4-1. 공특입'!$B$6:$B$1992,$A9,'4-1. 공특입'!$Q$6:$Q$1992,"&lt;"&amp;0)</x:f>
        <x:v>0</x:v>
      </x:c>
      <x:c r="D9" s="137">
        <x:f>SUMIFS('3. 일입'!$P$7:$P$2000,'3. 일입'!$B$7:$B$2000,$A9,'3. 일입'!$P$7:$P$2000,"&gt;"&amp;0)+SUMIFS('4. 특입'!$P$6:$P$1994,'4. 특입'!$B$6:$B$1994,$A9,'4. 특입'!$P$6:$P$1994,"&gt;"&amp;0)+SUMIFS('4-1. 공특입'!$Q$6:$Q$1992,'4-1. 공특입'!$B$6:$B$1992,$A9,'4-1. 공특입'!$Q$6:$Q$1992,"&gt;"&amp;0)</x:f>
        <x:v>0</x:v>
      </x:c>
      <x:c r="E9" s="136">
        <x:f>C9+D9</x:f>
        <x:v>0</x:v>
      </x:c>
      <x:c r="F9" s="135">
        <x:f>SUMIFS('3. 일출(자체)'!$R$6:$R$1989,'3. 일출(자체)'!$B$6:$B$1989,$A9,'3. 일출(자체)'!$R$6:$R$1989,"&lt;"&amp;0)+SUMIFS('3. 일출(의존)'!$R$6:$R$1989,'3. 일출(의존)'!$B$6:$B$1989,$A9,'3. 일출(의존)'!$R$6:$R$1989,"&lt;"&amp;0)+SUMIFS('4. 특출'!$R$5:$R$1991,'4. 특출'!$B$5:$B$1991,$A9,'4. 특출'!$R$5:$R$1991,"&lt;"&amp;0)+SUMIFS('4-1. 공특출'!$R$5:$R$1992,'4-1. 공특출'!$B$5:$B$1992,$A9,'4-1. 공특출'!$R$5:$R$1992,"&lt;"&amp;0)</x:f>
        <x:v>0</x:v>
      </x:c>
      <x:c r="G9" s="545">
        <x:f>SUMIFS('3. 일출(자체)'!$R$6:$R$1989,'3. 일출(자체)'!$B$6:$B$1989,$A9,'3. 일출(자체)'!$R$6:$R$1989,"&gt;"&amp;0)+SUMIFS('3. 일출(의존)'!$R$6:$R$1989,'3. 일출(의존)'!$B$6:$B$1989,$A9,'3. 일출(의존)'!$R$6:$R$1989,"&gt;"&amp;0)+SUMIFS('4. 특출'!$R$5:$R$1991,'4. 특출'!$B$5:$B$1991,$A9,'4. 특출'!$R$5:$R$1991,"&gt;"&amp;0)+SUMIFS('4-1. 공특출'!$R$5:$R$1992,'4-1. 공특출'!$B$5:$B$1992,$A9,'4-1. 공특출'!$R$5:$R$1992,"&gt;"&amp;0)</x:f>
        <x:v>0</x:v>
      </x:c>
      <x:c r="H9" s="136">
        <x:f t="shared" ref="H9:H19" si="2">G9+F9</x:f>
        <x:v>0</x:v>
      </x:c>
      <x:c r="I9" s="135">
        <x:f t="shared" ref="I9:I19" si="3">B9+F9+G9</x:f>
        <x:v>129702008</x:v>
      </x:c>
      <x:c r="J9" s="17"/>
      <x:c r="K9" s="127" t="s">
        <x:v>1337</x:v>
      </x:c>
      <x:c r="L9" s="121">
        <x:f>SUM(C26:D26)</x:f>
        <x:v>0</x:v>
      </x:c>
      <x:c r="M9" s="121">
        <x:f>SUM(F26:G26)</x:f>
        <x:v>0</x:v>
      </x:c>
      <x:c r="N9" s="121">
        <x:f>L9-M9</x:f>
        <x:v>0</x:v>
      </x:c>
      <x:c r="O9" s="925" t="s">
        <x:v>1787</x:v>
      </x:c>
    </x:row>
    <x:row r="10" spans="1:15" ht="30" customHeight="1">
      <x:c r="A10" s="154" t="s">
        <x:v>1937</x:v>
      </x:c>
      <x:c r="B10" s="153">
        <x:f t="shared" si="1"/>
        <x:v>5932148107</x:v>
      </x:c>
      <x:c r="C10" s="153">
        <x:f>SUMIFS('3. 일입'!$P$7:$P$2000,'3. 일입'!$B$7:$B$2000,$A10,'3. 일입'!$P$7:$P$2000,"&lt;"&amp;0)+SUMIFS('4. 특입'!$P$6:$P$1994,'4. 특입'!$B$6:$B$1994,$A10,'4. 특입'!$P$6:$P$1994,"&lt;"&amp;0)+SUMIFS('4-1. 공특입'!$Q$6:$Q$1992,'4-1. 공특입'!$B$6:$B$1992,$A10,'4-1. 공특입'!$Q$6:$Q$1992,"&lt;"&amp;0)</x:f>
        <x:v>0</x:v>
      </x:c>
      <x:c r="D10" s="546">
        <x:f>SUMIFS('3. 일입'!$P$7:$P$2000,'3. 일입'!$B$7:$B$2000,$A10,'3. 일입'!$P$7:$P$2000,"&gt;"&amp;0)+SUMIFS('4. 특입'!$P$6:$P$1994,'4. 특입'!$B$6:$B$1994,$A10,'4. 특입'!$P$6:$P$1994,"&gt;"&amp;0)+SUMIFS('4-1. 공특입'!$Q$6:$Q$1992,'4-1. 공특입'!$B$6:$B$1992,$A10,'4-1. 공특입'!$Q$6:$Q$1992,"&gt;"&amp;0)</x:f>
        <x:v>0</x:v>
      </x:c>
      <x:c r="E10" s="151">
        <x:f t="shared" ref="E10:E19" si="4">C10+D10</x:f>
        <x:v>0</x:v>
      </x:c>
      <x:c r="F10" s="150">
        <x:f>SUMIFS('3. 일출(자체)'!$R$6:$R$1989,'3. 일출(자체)'!$B$6:$B$1989,$A10,'3. 일출(자체)'!$R$6:$R$1989,"&lt;"&amp;0)+SUMIFS('3. 일출(의존)'!$R$6:$R$1989,'3. 일출(의존)'!$B$6:$B$1989,$A10,'3. 일출(의존)'!$R$6:$R$1989,"&lt;"&amp;0)+SUMIFS('4. 특출'!$R$5:$R$1991,'4. 특출'!$B$5:$B$1991,$A10,'4. 특출'!$R$5:$R$1991,"&lt;"&amp;0)+SUMIFS('4-1. 공특출'!$R$5:$R$1992,'4-1. 공특출'!$B$5:$B$1992,$A10,'4-1. 공특출'!$R$5:$R$1992,"&lt;"&amp;0)</x:f>
        <x:v>0</x:v>
      </x:c>
      <x:c r="G10" s="152">
        <x:f>SUMIFS('3. 일출(자체)'!$R$6:$R$1989,'3. 일출(자체)'!$B$6:$B$1989,$A10,'3. 일출(자체)'!$R$6:$R$1989,"&gt;"&amp;0)+SUMIFS('3. 일출(의존)'!$R$6:$R$1989,'3. 일출(의존)'!$B$6:$B$1989,$A10,'3. 일출(의존)'!$R$6:$R$1989,"&gt;"&amp;0)+SUMIFS('4. 특출'!$R$5:$R$1991,'4. 특출'!$B$5:$B$1991,$A10,'4. 특출'!$R$5:$R$1991,"&gt;"&amp;0)+SUMIFS('4-1. 공특출'!$R$5:$R$1992,'4-1. 공특출'!$B$5:$B$1992,$A10,'4-1. 공특출'!$R$5:$R$1992,"&gt;"&amp;0)</x:f>
        <x:v>0</x:v>
      </x:c>
      <x:c r="H10" s="151">
        <x:f t="shared" si="2"/>
        <x:v>0</x:v>
      </x:c>
      <x:c r="I10" s="150">
        <x:f t="shared" si="3"/>
        <x:v>5932148107</x:v>
      </x:c>
      <x:c r="J10" s="17"/>
      <x:c r="K10" s="127" t="s">
        <x:v>491</x:v>
      </x:c>
      <x:c r="L10" s="121">
        <x:f>SUM(C27:D27)</x:f>
        <x:v>0</x:v>
      </x:c>
      <x:c r="M10" s="121">
        <x:f>SUM(F27:G27)</x:f>
        <x:v>0</x:v>
      </x:c>
      <x:c r="N10" s="121">
        <x:f>L10-M10</x:f>
        <x:v>0</x:v>
      </x:c>
      <x:c r="O10" s="926"/>
    </x:row>
    <x:row r="11" spans="1:15" ht="30" customHeight="1">
      <x:c r="A11" s="154" t="s">
        <x:v>519</x:v>
      </x:c>
      <x:c r="B11" s="153">
        <x:f t="shared" si="1"/>
        <x:v>474872242</x:v>
      </x:c>
      <x:c r="C11" s="153">
        <x:f>SUMIFS('3. 일입'!$P$7:$P$2000,'3. 일입'!$B$7:$B$2000,$A11,'3. 일입'!$P$7:$P$2000,"&lt;"&amp;0)+SUMIFS('4. 특입'!$P$6:$P$1994,'4. 특입'!$B$6:$B$1994,$A11,'4. 특입'!$P$6:$P$1994,"&lt;"&amp;0)+SUMIFS('4-1. 공특입'!$Q$6:$Q$1992,'4-1. 공특입'!$B$6:$B$1992,$A11,'4-1. 공특입'!$Q$6:$Q$1992,"&lt;"&amp;0)</x:f>
        <x:v>0</x:v>
      </x:c>
      <x:c r="D11" s="546">
        <x:f>SUMIFS('3. 일입'!$P$7:$P$2000,'3. 일입'!$B$7:$B$2000,$A11,'3. 일입'!$P$7:$P$2000,"&gt;"&amp;0)+SUMIFS('4. 특입'!$P$6:$P$1994,'4. 특입'!$B$6:$B$1994,$A11,'4. 특입'!$P$6:$P$1994,"&gt;"&amp;0)+SUMIFS('4-1. 공특입'!$Q$6:$Q$1992,'4-1. 공특입'!$B$6:$B$1992,$A11,'4-1. 공특입'!$Q$6:$Q$1992,"&gt;"&amp;0)</x:f>
        <x:v>0</x:v>
      </x:c>
      <x:c r="E11" s="151">
        <x:f t="shared" si="4"/>
        <x:v>0</x:v>
      </x:c>
      <x:c r="F11" s="150">
        <x:f>SUMIFS('3. 일출(자체)'!$R$6:$R$1989,'3. 일출(자체)'!$B$6:$B$1989,$A11,'3. 일출(자체)'!$R$6:$R$1989,"&lt;"&amp;0)+SUMIFS('3. 일출(의존)'!$R$6:$R$1989,'3. 일출(의존)'!$B$6:$B$1989,$A11,'3. 일출(의존)'!$R$6:$R$1989,"&lt;"&amp;0)+SUMIFS('4. 특출'!$R$5:$R$1991,'4. 특출'!$B$5:$B$1991,$A11,'4. 특출'!$R$5:$R$1991,"&lt;"&amp;0)+SUMIFS('4-1. 공특출'!$R$5:$R$1992,'4-1. 공특출'!$B$5:$B$1992,$A11,'4-1. 공특출'!$R$5:$R$1992,"&lt;"&amp;0)</x:f>
        <x:v>0</x:v>
      </x:c>
      <x:c r="G11" s="152">
        <x:f>SUMIFS('3. 일출(자체)'!$R$6:$R$1989,'3. 일출(자체)'!$B$6:$B$1989,$A11,'3. 일출(자체)'!$R$6:$R$1989,"&gt;"&amp;0)+SUMIFS('3. 일출(의존)'!$R$6:$R$1989,'3. 일출(의존)'!$B$6:$B$1989,$A11,'3. 일출(의존)'!$R$6:$R$1989,"&gt;"&amp;0)+SUMIFS('4. 특출'!$R$5:$R$1991,'4. 특출'!$B$5:$B$1991,$A11,'4. 특출'!$R$5:$R$1991,"&gt;"&amp;0)+SUMIFS('4-1. 공특출'!$R$5:$R$1992,'4-1. 공특출'!$B$5:$B$1992,$A11,'4-1. 공특출'!$R$5:$R$1992,"&gt;"&amp;0)</x:f>
        <x:v>0</x:v>
      </x:c>
      <x:c r="H11" s="151">
        <x:f t="shared" si="2"/>
        <x:v>0</x:v>
      </x:c>
      <x:c r="I11" s="150">
        <x:f t="shared" si="3"/>
        <x:v>474872242</x:v>
      </x:c>
      <x:c r="J11" s="17"/>
      <x:c r="N11" s="26"/>
      <x:c r="O11" s="1" t="s">
        <x:v>1656</x:v>
      </x:c>
    </x:row>
    <x:row r="12" spans="1:14" ht="30" customHeight="1">
      <x:c r="A12" s="154" t="s">
        <x:v>1938</x:v>
      </x:c>
      <x:c r="B12" s="153">
        <x:f t="shared" si="1"/>
        <x:v>4269846310</x:v>
      </x:c>
      <x:c r="C12" s="153">
        <x:f>SUMIFS('3. 일입'!$P$7:$P$2000,'3. 일입'!$B$7:$B$2000,$A12,'3. 일입'!$P$7:$P$2000,"&lt;"&amp;0)+SUMIFS('4. 특입'!$P$6:$P$1994,'4. 특입'!$B$6:$B$1994,$A12,'4. 특입'!$P$6:$P$1994,"&lt;"&amp;0)+SUMIFS('4-1. 공특입'!$Q$6:$Q$1992,'4-1. 공특입'!$B$6:$B$1992,$A12,'4-1. 공특입'!$Q$6:$Q$1992,"&lt;"&amp;0)</x:f>
        <x:v>0</x:v>
      </x:c>
      <x:c r="D12" s="546">
        <x:f>SUMIFS('3. 일입'!$P$7:$P$2000,'3. 일입'!$B$7:$B$2000,$A12,'3. 일입'!$P$7:$P$2000,"&gt;"&amp;0)+SUMIFS('4. 특입'!$P$6:$P$1994,'4. 특입'!$B$6:$B$1994,$A12,'4. 특입'!$P$6:$P$1994,"&gt;"&amp;0)+SUMIFS('4-1. 공특입'!$Q$6:$Q$1992,'4-1. 공특입'!$B$6:$B$1992,$A12,'4-1. 공특입'!$Q$6:$Q$1992,"&gt;"&amp;0)</x:f>
        <x:v>0</x:v>
      </x:c>
      <x:c r="E12" s="151">
        <x:f t="shared" si="4"/>
        <x:v>0</x:v>
      </x:c>
      <x:c r="F12" s="150">
        <x:f>SUMIFS('3. 일출(자체)'!$R$6:$R$1989,'3. 일출(자체)'!$B$6:$B$1989,$A12,'3. 일출(자체)'!$R$6:$R$1989,"&lt;"&amp;0)+SUMIFS('3. 일출(의존)'!$R$6:$R$1989,'3. 일출(의존)'!$B$6:$B$1989,$A12,'3. 일출(의존)'!$R$6:$R$1989,"&lt;"&amp;0)+SUMIFS('4. 특출'!$R$5:$R$1991,'4. 특출'!$B$5:$B$1991,$A12,'4. 특출'!$R$5:$R$1991,"&lt;"&amp;0)+SUMIFS('4-1. 공특출'!$R$5:$R$1992,'4-1. 공특출'!$B$5:$B$1992,$A12,'4-1. 공특출'!$R$5:$R$1992,"&lt;"&amp;0)</x:f>
        <x:v>0</x:v>
      </x:c>
      <x:c r="G12" s="152">
        <x:f>SUMIFS('3. 일출(자체)'!$R$6:$R$1989,'3. 일출(자체)'!$B$6:$B$1989,$A12,'3. 일출(자체)'!$R$6:$R$1989,"&gt;"&amp;0)+SUMIFS('3. 일출(의존)'!$R$6:$R$1989,'3. 일출(의존)'!$B$6:$B$1989,$A12,'3. 일출(의존)'!$R$6:$R$1989,"&gt;"&amp;0)+SUMIFS('4. 특출'!$R$5:$R$1991,'4. 특출'!$B$5:$B$1991,$A12,'4. 특출'!$R$5:$R$1991,"&gt;"&amp;0)+SUMIFS('4-1. 공특출'!$R$5:$R$1992,'4-1. 공특출'!$B$5:$B$1992,$A12,'4-1. 공특출'!$R$5:$R$1992,"&gt;"&amp;0)</x:f>
        <x:v>0</x:v>
      </x:c>
      <x:c r="H12" s="151">
        <x:f t="shared" si="2"/>
        <x:v>0</x:v>
      </x:c>
      <x:c r="I12" s="150">
        <x:f t="shared" si="3"/>
        <x:v>4269846310</x:v>
      </x:c>
      <x:c r="J12" s="17"/>
      <x:c r="N12" s="26"/>
    </x:row>
    <x:row r="13" spans="1:10" ht="30" customHeight="1">
      <x:c r="A13" s="154" t="s">
        <x:v>1512</x:v>
      </x:c>
      <x:c r="B13" s="153">
        <x:f t="shared" si="1"/>
        <x:v>554871567</x:v>
      </x:c>
      <x:c r="C13" s="153">
        <x:f>SUMIFS('3. 일입'!$P$7:$P$2000,'3. 일입'!$B$7:$B$2000,$A13,'3. 일입'!$P$7:$P$2000,"&lt;"&amp;0)+SUMIFS('4. 특입'!$P$6:$P$1994,'4. 특입'!$B$6:$B$1994,$A13,'4. 특입'!$P$6:$P$1994,"&lt;"&amp;0)+SUMIFS('4-1. 공특입'!$Q$6:$Q$1992,'4-1. 공특입'!$B$6:$B$1992,$A13,'4-1. 공특입'!$Q$6:$Q$1992,"&lt;"&amp;0)</x:f>
        <x:v>0</x:v>
      </x:c>
      <x:c r="D13" s="546">
        <x:f>SUMIFS('3. 일입'!$P$7:$P$2000,'3. 일입'!$B$7:$B$2000,$A13,'3. 일입'!$P$7:$P$2000,"&gt;"&amp;0)+SUMIFS('4. 특입'!$P$6:$P$1994,'4. 특입'!$B$6:$B$1994,$A13,'4. 특입'!$P$6:$P$1994,"&gt;"&amp;0)+SUMIFS('4-1. 공특입'!$Q$6:$Q$1992,'4-1. 공특입'!$B$6:$B$1992,$A13,'4-1. 공특입'!$Q$6:$Q$1992,"&gt;"&amp;0)</x:f>
        <x:v>0</x:v>
      </x:c>
      <x:c r="E13" s="151">
        <x:f t="shared" si="4"/>
        <x:v>0</x:v>
      </x:c>
      <x:c r="F13" s="150">
        <x:f>SUMIFS('3. 일출(자체)'!$R$6:$R$1989,'3. 일출(자체)'!$B$6:$B$1989,$A13,'3. 일출(자체)'!$R$6:$R$1989,"&lt;"&amp;0)+SUMIFS('3. 일출(의존)'!$R$6:$R$1989,'3. 일출(의존)'!$B$6:$B$1989,$A13,'3. 일출(의존)'!$R$6:$R$1989,"&lt;"&amp;0)+SUMIFS('4. 특출'!$R$5:$R$1991,'4. 특출'!$B$5:$B$1991,$A13,'4. 특출'!$R$5:$R$1991,"&lt;"&amp;0)+SUMIFS('4-1. 공특출'!$R$5:$R$1992,'4-1. 공특출'!$B$5:$B$1992,$A13,'4-1. 공특출'!$R$5:$R$1992,"&lt;"&amp;0)</x:f>
        <x:v>0</x:v>
      </x:c>
      <x:c r="G13" s="152">
        <x:f>SUMIFS('3. 일출(자체)'!$R$6:$R$1989,'3. 일출(자체)'!$B$6:$B$1989,$A13,'3. 일출(자체)'!$R$6:$R$1989,"&gt;"&amp;0)+SUMIFS('3. 일출(의존)'!$R$6:$R$1989,'3. 일출(의존)'!$B$6:$B$1989,$A13,'3. 일출(의존)'!$R$6:$R$1989,"&gt;"&amp;0)+SUMIFS('4. 특출'!$R$5:$R$1991,'4. 특출'!$B$5:$B$1991,$A13,'4. 특출'!$R$5:$R$1991,"&gt;"&amp;0)+SUMIFS('4-1. 공특출'!$R$5:$R$1992,'4-1. 공특출'!$B$5:$B$1992,$A13,'4-1. 공특출'!$R$5:$R$1992,"&gt;"&amp;0)</x:f>
        <x:v>0</x:v>
      </x:c>
      <x:c r="H13" s="151">
        <x:f t="shared" si="2"/>
        <x:v>0</x:v>
      </x:c>
      <x:c r="I13" s="150">
        <x:f t="shared" si="3"/>
        <x:v>554871567</x:v>
      </x:c>
      <x:c r="J13" s="17"/>
    </x:row>
    <x:row r="14" spans="1:10" ht="30" customHeight="1">
      <x:c r="A14" s="154" t="s">
        <x:v>2005</x:v>
      </x:c>
      <x:c r="B14" s="153">
        <x:f t="shared" si="1"/>
        <x:v>1195877261</x:v>
      </x:c>
      <x:c r="C14" s="153">
        <x:f>SUMIFS('3. 일입'!$P$7:$P$2000,'3. 일입'!$B$7:$B$2000,$A14,'3. 일입'!$P$7:$P$2000,"&lt;"&amp;0)+SUMIFS('4. 특입'!$P$6:$P$1994,'4. 특입'!$B$6:$B$1994,$A14,'4. 특입'!$P$6:$P$1994,"&lt;"&amp;0)+SUMIFS('4-1. 공특입'!$Q$6:$Q$1992,'4-1. 공특입'!$B$6:$B$1992,$A14,'4-1. 공특입'!$Q$6:$Q$1992,"&lt;"&amp;0)</x:f>
        <x:v>0</x:v>
      </x:c>
      <x:c r="D14" s="546">
        <x:f>SUMIFS('3. 일입'!$P$7:$P$2000,'3. 일입'!$B$7:$B$2000,$A14,'3. 일입'!$P$7:$P$2000,"&gt;"&amp;0)+SUMIFS('4. 특입'!$P$6:$P$1994,'4. 특입'!$B$6:$B$1994,$A14,'4. 특입'!$P$6:$P$1994,"&gt;"&amp;0)+SUMIFS('4-1. 공특입'!$Q$6:$Q$1992,'4-1. 공특입'!$B$6:$B$1992,$A14,'4-1. 공특입'!$Q$6:$Q$1992,"&gt;"&amp;0)</x:f>
        <x:v>0</x:v>
      </x:c>
      <x:c r="E14" s="151">
        <x:f t="shared" si="4"/>
        <x:v>0</x:v>
      </x:c>
      <x:c r="F14" s="150">
        <x:f>SUMIFS('3. 일출(자체)'!$R$6:$R$1989,'3. 일출(자체)'!$B$6:$B$1989,$A14,'3. 일출(자체)'!$R$6:$R$1989,"&lt;"&amp;0)+SUMIFS('3. 일출(의존)'!$R$6:$R$1989,'3. 일출(의존)'!$B$6:$B$1989,$A14,'3. 일출(의존)'!$R$6:$R$1989,"&lt;"&amp;0)+SUMIFS('4. 특출'!$R$5:$R$1991,'4. 특출'!$B$5:$B$1991,$A14,'4. 특출'!$R$5:$R$1991,"&lt;"&amp;0)+SUMIFS('4-1. 공특출'!$R$5:$R$1992,'4-1. 공특출'!$B$5:$B$1992,$A14,'4-1. 공특출'!$R$5:$R$1992,"&lt;"&amp;0)</x:f>
        <x:v>0</x:v>
      </x:c>
      <x:c r="G14" s="152">
        <x:f>SUMIFS('3. 일출(자체)'!$R$6:$R$1989,'3. 일출(자체)'!$B$6:$B$1989,$A14,'3. 일출(자체)'!$R$6:$R$1989,"&gt;"&amp;0)+SUMIFS('3. 일출(의존)'!$R$6:$R$1989,'3. 일출(의존)'!$B$6:$B$1989,$A14,'3. 일출(의존)'!$R$6:$R$1989,"&gt;"&amp;0)+SUMIFS('4. 특출'!$R$5:$R$1991,'4. 특출'!$B$5:$B$1991,$A14,'4. 특출'!$R$5:$R$1991,"&gt;"&amp;0)+SUMIFS('4-1. 공특출'!$R$5:$R$1992,'4-1. 공특출'!$B$5:$B$1992,$A14,'4-1. 공특출'!$R$5:$R$1992,"&gt;"&amp;0)</x:f>
        <x:v>0</x:v>
      </x:c>
      <x:c r="H14" s="151">
        <x:f t="shared" si="2"/>
        <x:v>0</x:v>
      </x:c>
      <x:c r="I14" s="150">
        <x:f t="shared" si="3"/>
        <x:v>1195877261</x:v>
      </x:c>
      <x:c r="J14" s="17"/>
    </x:row>
    <x:row r="15" spans="1:10" ht="30" customHeight="1">
      <x:c r="A15" s="154" t="s">
        <x:v>2020</x:v>
      </x:c>
      <x:c r="B15" s="153">
        <x:f t="shared" si="1"/>
        <x:v>14042559485</x:v>
      </x:c>
      <x:c r="C15" s="153">
        <x:f>SUMIFS('3. 일입'!$P$7:$P$2000,'3. 일입'!$B$7:$B$2000,$A15,'3. 일입'!$P$7:$P$2000,"&lt;"&amp;0)+SUMIFS('4. 특입'!$P$6:$P$1994,'4. 특입'!$B$6:$B$1994,$A15,'4. 특입'!$P$6:$P$1994,"&lt;"&amp;0)+SUMIFS('4-1. 공특입'!$Q$6:$Q$1992,'4-1. 공특입'!$B$6:$B$1992,$A15,'4-1. 공특입'!$Q$6:$Q$1992,"&lt;"&amp;0)</x:f>
        <x:v>0</x:v>
      </x:c>
      <x:c r="D15" s="546">
        <x:f>SUMIFS('3. 일입'!$P$7:$P$2000,'3. 일입'!$B$7:$B$2000,$A15,'3. 일입'!$P$7:$P$2000,"&gt;"&amp;0)+SUMIFS('4. 특입'!$P$6:$P$1994,'4. 특입'!$B$6:$B$1994,$A15,'4. 특입'!$P$6:$P$1994,"&gt;"&amp;0)+SUMIFS('4-1. 공특입'!$Q$6:$Q$1992,'4-1. 공특입'!$B$6:$B$1992,$A15,'4-1. 공특입'!$Q$6:$Q$1992,"&gt;"&amp;0)</x:f>
        <x:v>0</x:v>
      </x:c>
      <x:c r="E15" s="151">
        <x:f t="shared" si="4"/>
        <x:v>0</x:v>
      </x:c>
      <x:c r="F15" s="150">
        <x:f>SUMIFS('3. 일출(자체)'!$R$6:$R$1989,'3. 일출(자체)'!$B$6:$B$1989,$A15,'3. 일출(자체)'!$R$6:$R$1989,"&lt;"&amp;0)+SUMIFS('3. 일출(의존)'!$R$6:$R$1989,'3. 일출(의존)'!$B$6:$B$1989,$A15,'3. 일출(의존)'!$R$6:$R$1989,"&lt;"&amp;0)+SUMIFS('4. 특출'!$R$5:$R$1991,'4. 특출'!$B$5:$B$1991,$A15,'4. 특출'!$R$5:$R$1991,"&lt;"&amp;0)+SUMIFS('4-1. 공특출'!$R$5:$R$1992,'4-1. 공특출'!$B$5:$B$1992,$A15,'4-1. 공특출'!$R$5:$R$1992,"&lt;"&amp;0)</x:f>
        <x:v>0</x:v>
      </x:c>
      <x:c r="G15" s="152">
        <x:f>SUMIFS('3. 일출(자체)'!$R$6:$R$1989,'3. 일출(자체)'!$B$6:$B$1989,$A15,'3. 일출(자체)'!$R$6:$R$1989,"&gt;"&amp;0)+SUMIFS('3. 일출(의존)'!$R$6:$R$1989,'3. 일출(의존)'!$B$6:$B$1989,$A15,'3. 일출(의존)'!$R$6:$R$1989,"&gt;"&amp;0)+SUMIFS('4. 특출'!$R$5:$R$1991,'4. 특출'!$B$5:$B$1991,$A15,'4. 특출'!$R$5:$R$1991,"&gt;"&amp;0)+SUMIFS('4-1. 공특출'!$R$5:$R$1992,'4-1. 공특출'!$B$5:$B$1992,$A15,'4-1. 공특출'!$R$5:$R$1992,"&gt;"&amp;0)</x:f>
        <x:v>0</x:v>
      </x:c>
      <x:c r="H15" s="151">
        <x:f t="shared" si="2"/>
        <x:v>0</x:v>
      </x:c>
      <x:c r="I15" s="150">
        <x:f t="shared" si="3"/>
        <x:v>14042559485</x:v>
      </x:c>
      <x:c r="J15" s="17"/>
    </x:row>
    <x:row r="16" spans="1:10" ht="30" customHeight="1">
      <x:c r="A16" s="154" t="s">
        <x:v>1998</x:v>
      </x:c>
      <x:c r="B16" s="153">
        <x:f t="shared" si="1"/>
        <x:v>3029412433</x:v>
      </x:c>
      <x:c r="C16" s="153">
        <x:f>SUMIFS('3. 일입'!$P$7:$P$2000,'3. 일입'!$B$7:$B$2000,$A16,'3. 일입'!$P$7:$P$2000,"&lt;"&amp;0)+SUMIFS('4. 특입'!$P$6:$P$1994,'4. 특입'!$B$6:$B$1994,$A16,'4. 특입'!$P$6:$P$1994,"&lt;"&amp;0)+SUMIFS('4-1. 공특입'!$Q$6:$Q$1992,'4-1. 공특입'!$B$6:$B$1992,$A16,'4-1. 공특입'!$Q$6:$Q$1992,"&lt;"&amp;0)</x:f>
        <x:v>0</x:v>
      </x:c>
      <x:c r="D16" s="546">
        <x:f>SUMIFS('3. 일입'!$P$7:$P$2000,'3. 일입'!$B$7:$B$2000,$A16,'3. 일입'!$P$7:$P$2000,"&gt;"&amp;0)+SUMIFS('4. 특입'!$P$6:$P$1994,'4. 특입'!$B$6:$B$1994,$A16,'4. 특입'!$P$6:$P$1994,"&gt;"&amp;0)+SUMIFS('4-1. 공특입'!$Q$6:$Q$1992,'4-1. 공특입'!$B$6:$B$1992,$A16,'4-1. 공특입'!$Q$6:$Q$1992,"&gt;"&amp;0)</x:f>
        <x:v>0</x:v>
      </x:c>
      <x:c r="E16" s="151">
        <x:f t="shared" si="4"/>
        <x:v>0</x:v>
      </x:c>
      <x:c r="F16" s="150">
        <x:f>SUMIFS('3. 일출(자체)'!$R$6:$R$1989,'3. 일출(자체)'!$B$6:$B$1989,$A16,'3. 일출(자체)'!$R$6:$R$1989,"&lt;"&amp;0)+SUMIFS('3. 일출(의존)'!$R$6:$R$1989,'3. 일출(의존)'!$B$6:$B$1989,$A16,'3. 일출(의존)'!$R$6:$R$1989,"&lt;"&amp;0)+SUMIFS('4. 특출'!$R$5:$R$1991,'4. 특출'!$B$5:$B$1991,$A16,'4. 특출'!$R$5:$R$1991,"&lt;"&amp;0)+SUMIFS('4-1. 공특출'!$R$5:$R$1992,'4-1. 공특출'!$B$5:$B$1992,$A16,'4-1. 공특출'!$R$5:$R$1992,"&lt;"&amp;0)</x:f>
        <x:v>0</x:v>
      </x:c>
      <x:c r="G16" s="152">
        <x:f>SUMIFS('3. 일출(자체)'!$R$6:$R$1989,'3. 일출(자체)'!$B$6:$B$1989,$A16,'3. 일출(자체)'!$R$6:$R$1989,"&gt;"&amp;0)+SUMIFS('3. 일출(의존)'!$R$6:$R$1989,'3. 일출(의존)'!$B$6:$B$1989,$A16,'3. 일출(의존)'!$R$6:$R$1989,"&gt;"&amp;0)+SUMIFS('4. 특출'!$R$5:$R$1991,'4. 특출'!$B$5:$B$1991,$A16,'4. 특출'!$R$5:$R$1991,"&gt;"&amp;0)+SUMIFS('4-1. 공특출'!$R$5:$R$1992,'4-1. 공특출'!$B$5:$B$1992,$A16,'4-1. 공특출'!$R$5:$R$1992,"&gt;"&amp;0)</x:f>
        <x:v>0</x:v>
      </x:c>
      <x:c r="H16" s="151">
        <x:f t="shared" si="2"/>
        <x:v>0</x:v>
      </x:c>
      <x:c r="I16" s="150">
        <x:f t="shared" si="3"/>
        <x:v>3029412433</x:v>
      </x:c>
      <x:c r="J16" s="17"/>
    </x:row>
    <x:row r="17" spans="1:10" ht="30" customHeight="1">
      <x:c r="A17" s="154" t="s">
        <x:v>2022</x:v>
      </x:c>
      <x:c r="B17" s="153">
        <x:f t="shared" si="1"/>
        <x:v>2367511141</x:v>
      </x:c>
      <x:c r="C17" s="153">
        <x:f>SUMIFS('3. 일입'!$P$7:$P$2000,'3. 일입'!$B$7:$B$2000,$A17,'3. 일입'!$P$7:$P$2000,"&lt;"&amp;0)+SUMIFS('4. 특입'!$P$6:$P$1994,'4. 특입'!$B$6:$B$1994,$A17,'4. 특입'!$P$6:$P$1994,"&lt;"&amp;0)+SUMIFS('4-1. 공특입'!$Q$6:$Q$1992,'4-1. 공특입'!$B$6:$B$1992,$A17,'4-1. 공특입'!$Q$6:$Q$1992,"&lt;"&amp;0)</x:f>
        <x:v>0</x:v>
      </x:c>
      <x:c r="D17" s="546">
        <x:f>SUMIFS('3. 일입'!$P$7:$P$2000,'3. 일입'!$B$7:$B$2000,$A17,'3. 일입'!$P$7:$P$2000,"&gt;"&amp;0)+SUMIFS('4. 특입'!$P$6:$P$1994,'4. 특입'!$B$6:$B$1994,$A17,'4. 특입'!$P$6:$P$1994,"&gt;"&amp;0)+SUMIFS('4-1. 공특입'!$Q$6:$Q$1992,'4-1. 공특입'!$B$6:$B$1992,$A17,'4-1. 공특입'!$Q$6:$Q$1992,"&gt;"&amp;0)</x:f>
        <x:v>0</x:v>
      </x:c>
      <x:c r="E17" s="151">
        <x:f t="shared" si="4"/>
        <x:v>0</x:v>
      </x:c>
      <x:c r="F17" s="150">
        <x:f>SUMIFS('3. 일출(자체)'!$R$6:$R$1989,'3. 일출(자체)'!$B$6:$B$1989,$A17,'3. 일출(자체)'!$R$6:$R$1989,"&lt;"&amp;0)+SUMIFS('3. 일출(의존)'!$R$6:$R$1989,'3. 일출(의존)'!$B$6:$B$1989,$A17,'3. 일출(의존)'!$R$6:$R$1989,"&lt;"&amp;0)+SUMIFS('4. 특출'!$R$5:$R$1991,'4. 특출'!$B$5:$B$1991,$A17,'4. 특출'!$R$5:$R$1991,"&lt;"&amp;0)+SUMIFS('4-1. 공특출'!$R$5:$R$1992,'4-1. 공특출'!$B$5:$B$1992,$A17,'4-1. 공특출'!$R$5:$R$1992,"&lt;"&amp;0)</x:f>
        <x:v>0</x:v>
      </x:c>
      <x:c r="G17" s="152">
        <x:f>SUMIFS('3. 일출(자체)'!$R$6:$R$1989,'3. 일출(자체)'!$B$6:$B$1989,$A17,'3. 일출(자체)'!$R$6:$R$1989,"&gt;"&amp;0)+SUMIFS('3. 일출(의존)'!$R$6:$R$1989,'3. 일출(의존)'!$B$6:$B$1989,$A17,'3. 일출(의존)'!$R$6:$R$1989,"&gt;"&amp;0)+SUMIFS('4. 특출'!$R$5:$R$1991,'4. 특출'!$B$5:$B$1991,$A17,'4. 특출'!$R$5:$R$1991,"&gt;"&amp;0)+SUMIFS('4-1. 공특출'!$R$5:$R$1992,'4-1. 공특출'!$B$5:$B$1992,$A17,'4-1. 공특출'!$R$5:$R$1992,"&gt;"&amp;0)</x:f>
        <x:v>0</x:v>
      </x:c>
      <x:c r="H17" s="151">
        <x:f t="shared" si="2"/>
        <x:v>0</x:v>
      </x:c>
      <x:c r="I17" s="150">
        <x:f t="shared" si="3"/>
        <x:v>2367511141</x:v>
      </x:c>
      <x:c r="J17" s="17"/>
    </x:row>
    <x:row r="18" spans="1:10" ht="30" customHeight="1">
      <x:c r="A18" s="154" t="s">
        <x:v>61</x:v>
      </x:c>
      <x:c r="B18" s="153">
        <x:f>B42</x:f>
        <x:v>890727734</x:v>
      </x:c>
      <x:c r="C18" s="153">
        <x:f>SUMIFS('3. 일입'!$P$7:$P$2000,'3. 일입'!$B$7:$B$2000,$A18,'3. 일입'!$P$7:$P$2000,"&lt;"&amp;0)+SUMIFS('4. 특입'!$P$6:$P$1994,'4. 특입'!$B$6:$B$1994,$A18,'4. 특입'!$P$6:$P$1994,"&lt;"&amp;0)+SUMIFS('4-1. 공특입'!$Q$6:$Q$1992,'4-1. 공특입'!$B$6:$B$1992,$A18,'4-1. 공특입'!$Q$6:$Q$1992,"&lt;"&amp;0)</x:f>
        <x:v>0</x:v>
      </x:c>
      <x:c r="D18" s="546">
        <x:f>SUMIFS('3. 일입'!$P$7:$P$2000,'3. 일입'!$B$7:$B$2000,$A18,'3. 일입'!$P$7:$P$2000,"&gt;"&amp;0)+SUMIFS('4. 특입'!$P$6:$P$1994,'4. 특입'!$B$6:$B$1994,$A18,'4. 특입'!$P$6:$P$1994,"&gt;"&amp;0)+SUMIFS('4-1. 공특입'!$Q$6:$Q$1992,'4-1. 공특입'!$B$6:$B$1992,$A18,'4-1. 공특입'!$Q$6:$Q$1992,"&gt;"&amp;0)</x:f>
        <x:v>0</x:v>
      </x:c>
      <x:c r="E18" s="151">
        <x:f t="shared" si="4"/>
        <x:v>0</x:v>
      </x:c>
      <x:c r="F18" s="150">
        <x:f>SUMIFS('3. 일출(자체)'!$R$6:$R$1989,'3. 일출(자체)'!$B$6:$B$1989,$A18,'3. 일출(자체)'!$R$6:$R$1989,"&lt;"&amp;0)+SUMIFS('3. 일출(의존)'!$R$6:$R$1989,'3. 일출(의존)'!$B$6:$B$1989,$A18,'3. 일출(의존)'!$R$6:$R$1989,"&lt;"&amp;0)+SUMIFS('4. 특출'!$R$5:$R$1991,'4. 특출'!$B$5:$B$1991,$A18,'4. 특출'!$R$5:$R$1991,"&lt;"&amp;0)+SUMIFS('4-1. 공특출'!$R$5:$R$1992,'4-1. 공특출'!$B$5:$B$1992,$A18,'4-1. 공특출'!$R$5:$R$1992,"&lt;"&amp;0)</x:f>
        <x:v>0</x:v>
      </x:c>
      <x:c r="G18" s="152">
        <x:f>SUMIFS('3. 일출(자체)'!$R$6:$R$1989,'3. 일출(자체)'!$B$6:$B$1989,$A18,'3. 일출(자체)'!$R$6:$R$1989,"&gt;"&amp;0)+SUMIFS('3. 일출(의존)'!$R$6:$R$1989,'3. 일출(의존)'!$B$6:$B$1989,$A18,'3. 일출(의존)'!$R$6:$R$1989,"&gt;"&amp;0)+SUMIFS('4. 특출'!$R$5:$R$1991,'4. 특출'!$B$5:$B$1991,$A18,'4. 특출'!$R$5:$R$1991,"&gt;"&amp;0)+SUMIFS('4-1. 공특출'!$R$5:$R$1992,'4-1. 공특출'!$B$5:$B$1992,$A18,'4-1. 공특출'!$R$5:$R$1992,"&gt;"&amp;0)</x:f>
        <x:v>0</x:v>
      </x:c>
      <x:c r="H18" s="151">
        <x:f t="shared" si="2"/>
        <x:v>0</x:v>
      </x:c>
      <x:c r="I18" s="150">
        <x:f t="shared" si="3"/>
        <x:v>890727734</x:v>
      </x:c>
      <x:c r="J18" s="17"/>
    </x:row>
    <x:row r="19" spans="1:10" ht="30" customHeight="1">
      <x:c r="A19" s="134" t="s">
        <x:v>1535</x:v>
      </x:c>
      <x:c r="B19" s="133">
        <x:f>B43</x:f>
        <x:v>9354473576</x:v>
      </x:c>
      <x:c r="C19" s="133">
        <x:f>SUMIFS('3. 일입'!$P$7:$P$2000,'3. 일입'!$B$7:$B$2000,$A19,'3. 일입'!$P$7:$P$2000,"&lt;"&amp;0)+SUMIFS('4. 특입'!$P$6:$P$1994,'4. 특입'!$B$6:$B$1994,$A19,'4. 특입'!$P$6:$P$1994,"&lt;"&amp;0)+SUMIFS('4-1. 공특입'!$Q$6:$Q$1992,'4-1. 공특입'!$B$6:$B$1992,$A19,'4-1. 공특입'!$Q$6:$Q$1992,"&lt;"&amp;0)</x:f>
        <x:v>0</x:v>
      </x:c>
      <x:c r="D19" s="132">
        <x:f>SUMIFS('3. 일입'!$P$7:$P$2000,'3. 일입'!$B$7:$B$2000,$A19,'3. 일입'!$P$7:$P$2000,"&gt;"&amp;0)+SUMIFS('4. 특입'!$P$6:$P$1994,'4. 특입'!$B$6:$B$1994,$A19,'4. 특입'!$P$6:$P$1994,"&gt;"&amp;0)+SUMIFS('4-1. 공특입'!$Q$6:$Q$1992,'4-1. 공특입'!$B$6:$B$1992,$A19,'4-1. 공특입'!$Q$6:$Q$1992,"&gt;"&amp;0)</x:f>
        <x:v>0</x:v>
      </x:c>
      <x:c r="E19" s="365">
        <x:f t="shared" si="4"/>
        <x:v>0</x:v>
      </x:c>
      <x:c r="F19" s="130">
        <x:f>SUMIFS('3. 일출(자체)'!$R$6:$R$1989,'3. 일출(자체)'!$B$6:$B$1989,$A19,'3. 일출(자체)'!$R$6:$R$1989,"&lt;"&amp;0)+SUMIFS('3. 일출(의존)'!$R$6:$R$1989,'3. 일출(의존)'!$B$6:$B$1989,$A19,'3. 일출(의존)'!$R$6:$R$1989,"&lt;"&amp;0)+SUMIFS('4. 특출'!$R$5:$R$1991,'4. 특출'!$B$5:$B$1991,$A19,'4. 특출'!$R$5:$R$1991,"&lt;"&amp;0)+SUMIFS('4-1. 공특출'!$R$5:$R$1992,'4-1. 공특출'!$B$5:$B$1992,$A19,'4-1. 공특출'!$R$5:$R$1992,"&lt;"&amp;0)</x:f>
        <x:v>0</x:v>
      </x:c>
      <x:c r="G19" s="547">
        <x:f>SUMIFS('3. 일출(자체)'!$R$6:$R$1989,'3. 일출(자체)'!$B$6:$B$1989,$A19,'3. 일출(자체)'!$R$6:$R$1989,"&gt;"&amp;0)+SUMIFS('3. 일출(의존)'!$R$6:$R$1989,'3. 일출(의존)'!$B$6:$B$1989,$A19,'3. 일출(의존)'!$R$6:$R$1989,"&gt;"&amp;0)+SUMIFS('4. 특출'!$R$5:$R$1991,'4. 특출'!$B$5:$B$1991,$A19,'4. 특출'!$R$5:$R$1991,"&gt;"&amp;0)+SUMIFS('4-1. 공특출'!$R$5:$R$1992,'4-1. 공특출'!$B$5:$B$1992,$A19,'4-1. 공특출'!$R$5:$R$1992,"&gt;"&amp;0)</x:f>
        <x:v>0</x:v>
      </x:c>
      <x:c r="H19" s="365">
        <x:f t="shared" si="2"/>
        <x:v>0</x:v>
      </x:c>
      <x:c r="I19" s="130">
        <x:f t="shared" si="3"/>
        <x:v>9354473576</x:v>
      </x:c>
      <x:c r="J19" s="17"/>
    </x:row>
    <x:row r="20" spans="10:10" ht="36" customHeight="1">
      <x:c r="J20" s="17"/>
    </x:row>
    <x:row r="21" spans="1:10" ht="30" customHeight="1">
      <x:c r="A21" s="149" t="s">
        <x:v>1539</x:v>
      </x:c>
      <x:c r="J21" s="17"/>
    </x:row>
    <x:row r="22" spans="9:10" ht="15" customHeight="1">
      <x:c r="I22" s="5" t="s">
        <x:v>1513</x:v>
      </x:c>
      <x:c r="J22" s="17"/>
    </x:row>
    <x:row r="23" spans="1:13" ht="24.949999999999999" customHeight="1">
      <x:c r="A23" s="930" t="s">
        <x:v>1327</x:v>
      </x:c>
      <x:c r="B23" s="930" t="s">
        <x:v>1528</x:v>
      </x:c>
      <x:c r="C23" s="930" t="s">
        <x:v>1328</x:v>
      </x:c>
      <x:c r="D23" s="930"/>
      <x:c r="E23" s="931"/>
      <x:c r="F23" s="930" t="s">
        <x:v>1324</x:v>
      </x:c>
      <x:c r="G23" s="930"/>
      <x:c r="H23" s="931"/>
      <x:c r="I23" s="930" t="s">
        <x:v>1319</x:v>
      </x:c>
      <x:c r="J23" s="17"/>
      <x:c r="K23" s="13"/>
      <x:c r="L23" s="14"/>
      <x:c r="M23" s="8"/>
    </x:row>
    <x:row r="24" spans="1:13" ht="24.949999999999999" customHeight="1">
      <x:c r="A24" s="930"/>
      <x:c r="B24" s="930"/>
      <x:c r="C24" s="148" t="s">
        <x:v>89</x:v>
      </x:c>
      <x:c r="D24" s="146" t="s">
        <x:v>93</x:v>
      </x:c>
      <x:c r="E24" s="145" t="s">
        <x:v>101</x:v>
      </x:c>
      <x:c r="F24" s="147" t="s">
        <x:v>89</x:v>
      </x:c>
      <x:c r="G24" s="146" t="s">
        <x:v>93</x:v>
      </x:c>
      <x:c r="H24" s="145" t="s">
        <x:v>101</x:v>
      </x:c>
      <x:c r="I24" s="932"/>
      <x:c r="J24" s="17"/>
      <x:c r="K24" s="9"/>
      <x:c r="L24" s="13"/>
      <x:c r="M24" s="8"/>
    </x:row>
    <x:row r="25" spans="1:13" ht="30" customHeight="1">
      <x:c r="A25" s="144" t="s">
        <x:v>96</x:v>
      </x:c>
      <x:c r="B25" s="143">
        <x:f t="shared" ref="B25:I25" si="5">SUM(B26:B27)</x:f>
        <x:v>42242001864</x:v>
      </x:c>
      <x:c r="C25" s="143">
        <x:f t="shared" si="5"/>
        <x:v>0</x:v>
      </x:c>
      <x:c r="D25" s="142">
        <x:f t="shared" si="5"/>
        <x:v>0</x:v>
      </x:c>
      <x:c r="E25" s="141">
        <x:f t="shared" si="5"/>
        <x:v>0</x:v>
      </x:c>
      <x:c r="F25" s="140">
        <x:f t="shared" si="5"/>
        <x:v>0</x:v>
      </x:c>
      <x:c r="G25" s="142">
        <x:f t="shared" si="5"/>
        <x:v>0</x:v>
      </x:c>
      <x:c r="H25" s="141">
        <x:f t="shared" si="5"/>
        <x:v>0</x:v>
      </x:c>
      <x:c r="I25" s="140">
        <x:f t="shared" si="5"/>
        <x:v>42242001864</x:v>
      </x:c>
      <x:c r="J25" s="17"/>
      <x:c r="K25" s="12"/>
      <x:c r="L25" s="12"/>
      <x:c r="M25" s="8"/>
    </x:row>
    <x:row r="26" spans="1:14" ht="30" customHeight="1">
      <x:c r="A26" s="139" t="s">
        <x:v>1337</x:v>
      </x:c>
      <x:c r="B26" s="138">
        <x:f>D32</x:f>
        <x:v>37646557814</x:v>
      </x:c>
      <x:c r="C26" s="138">
        <x:f>SUMIFS('3. 일입'!$P$7:$P$2000,'3. 일입'!$D$7:$D$2000,"&lt;&gt;"&amp;"",'3. 일입'!$P$7:$P$2000,"&lt;"&amp;0)</x:f>
        <x:v>0</x:v>
      </x:c>
      <x:c r="D26" s="137">
        <x:f>SUMIFS('3. 일입'!$P$7:$P$2000,'3. 일입'!$D$7:$D$2000,"&lt;&gt;"&amp;"",'3. 일입'!$P$7:$P$2000,"&gt;"&amp;0)</x:f>
        <x:v>0</x:v>
      </x:c>
      <x:c r="E26" s="136">
        <x:f>D26+C26</x:f>
        <x:v>0</x:v>
      </x:c>
      <x:c r="F26" s="135">
        <x:f>SUMIFS('3. 일출(자체)'!$R$6:$R$1989,'3. 일출(자체)'!$D$6:$D$1989,"&lt;&gt;"&amp;"",'3. 일출(자체)'!$R$6:$R$1989,"&lt;"&amp;0)+SUMIFS('3. 일출(의존)'!$R$6:$R$1989,'3. 일출(의존)'!$D$6:$D$1989,"&lt;&gt;"&amp;"",'3. 일출(의존)'!$R$6:$R$1989,"&lt;"&amp;0)</x:f>
        <x:v>0</x:v>
      </x:c>
      <x:c r="G26" s="137">
        <x:f>SUMIFS('3. 일출(자체)'!$R$6:$R$1989,'3. 일출(자체)'!$D$6:$D$1989,"&lt;&gt;"&amp;"",'3. 일출(자체)'!$R$6:$R$1989,"&gt;"&amp;0)+SUMIFS('3. 일출(의존)'!$R$6:$R$1989,'3. 일출(의존)'!$D$6:$D$1989,"&lt;&gt;"&amp;"",'3. 일출(의존)'!$R$6:$R$1989,"&gt;"&amp;0)</x:f>
        <x:v>0</x:v>
      </x:c>
      <x:c r="H26" s="136">
        <x:f>G26+F26</x:f>
        <x:v>0</x:v>
      </x:c>
      <x:c r="I26" s="135">
        <x:f>B26+F26+G26</x:f>
        <x:v>37646557814</x:v>
      </x:c>
      <x:c r="J26" s="17"/>
      <x:c r="K26" s="12"/>
      <x:c r="L26" s="12"/>
      <x:c r="M26" s="94">
        <x:v>0</x:v>
      </x:c>
      <x:c r="N26" s="26"/>
    </x:row>
    <x:row r="27" spans="1:13" ht="30" customHeight="1">
      <x:c r="A27" s="134" t="s">
        <x:v>491</x:v>
      </x:c>
      <x:c r="B27" s="133">
        <x:f>E32+F32</x:f>
        <x:v>4595444050</x:v>
      </x:c>
      <x:c r="C27" s="133">
        <x:f>SUMIFS('4. 특입'!$P$6:$P$1000,'4. 특입'!$D$6:$D$1000,"&lt;&gt;"&amp;"",'4. 특입'!$P$6:$P$1000,"&lt;"&amp;0)+SUMIFS('4-1. 공특입'!$Q$6:$Q$998,'4-1. 공특입'!$D$6:$D$998,"&lt;&gt;"&amp;"",'4-1. 공특입'!$Q$6:$Q$998,"&lt;"&amp;0)</x:f>
        <x:v>0</x:v>
      </x:c>
      <x:c r="D27" s="132">
        <x:f>SUMIFS('4. 특입'!$P$6:$P$1000,'4. 특입'!$D$6:$D$1000,"&lt;&gt;"&amp;"",'4. 특입'!$P$6:$P$1000,"&gt;"&amp;0)+SUMIFS('4-1. 공특입'!$Q$6:$Q$998,'4-1. 공특입'!$D$6:$D$998,"&lt;&gt;"&amp;"",'4-1. 공특입'!$Q$6:$Q$998,"&gt;"&amp;0)</x:f>
        <x:v>0</x:v>
      </x:c>
      <x:c r="E27" s="131">
        <x:f>D27+C27</x:f>
        <x:v>0</x:v>
      </x:c>
      <x:c r="F27" s="130">
        <x:f>SUMIFS('4. 특출'!$R$5:$R$995,'4. 특출'!$D$5:$D$995,"&lt;&gt;"&amp;"",'4. 특출'!$R$5:$R$995,"&lt;"&amp;0)+SUMIFS('4-1. 공특출'!$R$5:$R$996,'4-1. 공특출'!$D$5:$D$996,"&lt;&gt;"&amp;"",'4-1. 공특출'!$R$5:$R$996,"&lt;"&amp;0)</x:f>
        <x:v>0</x:v>
      </x:c>
      <x:c r="G27" s="132">
        <x:f>SUMIFS('4. 특출'!$R$5:$R$995,'4. 특출'!$D$5:$D$995,"&lt;&gt;"&amp;"",'4. 특출'!$R$5:$R$995,"&gt;"&amp;0)+SUMIFS('4-1. 공특출'!$R$5:$R$996,'4-1. 공특출'!$D$5:$D$996,"&lt;&gt;"&amp;"",'4-1. 공특출'!$R$5:$R$996,"&gt;"&amp;0)</x:f>
        <x:v>0</x:v>
      </x:c>
      <x:c r="H27" s="131">
        <x:f>G27+F27</x:f>
        <x:v>0</x:v>
      </x:c>
      <x:c r="I27" s="130">
        <x:f>B27+F27+G27</x:f>
        <x:v>4595444050</x:v>
      </x:c>
      <x:c r="J27" s="17"/>
      <x:c r="K27" s="12"/>
      <x:c r="L27" s="12"/>
      <x:c r="M27" s="8"/>
    </x:row>
    <x:row r="29" spans="13:13" customHeight="1">
      <x:c r="M29" s="26"/>
    </x:row>
    <x:row r="30" spans="1:1" customHeight="1">
      <x:c r="A30" s="19" t="s">
        <x:v>14</x:v>
      </x:c>
    </x:row>
    <x:row r="31" spans="1:12" customHeight="1">
      <x:c r="A31" s="126" t="s">
        <x:v>1933</x:v>
      </x:c>
      <x:c r="B31" s="126" t="s">
        <x:v>109</x:v>
      </x:c>
      <x:c r="C31" s="126" t="s">
        <x:v>501</x:v>
      </x:c>
      <x:c r="D31" s="126" t="s">
        <x:v>1337</x:v>
      </x:c>
      <x:c r="E31" s="126" t="s">
        <x:v>480</x:v>
      </x:c>
      <x:c r="F31" s="126" t="s">
        <x:v>488</x:v>
      </x:c>
      <x:c r="I31" s="235"/>
      <x:c r="K31" s="235"/>
      <x:c r="L31" s="235"/>
    </x:row>
    <x:row r="32" spans="1:12" customHeight="1">
      <x:c r="A32" s="125" t="s">
        <x:v>96</x:v>
      </x:c>
      <x:c r="B32" s="124">
        <x:f>SUM(B33:B43)</x:f>
        <x:v>42242001864</x:v>
      </x:c>
      <x:c r="C32" s="124">
        <x:f t="shared" ref="C32:F32" si="6">SUM(C33:C43)</x:f>
        <x:v>42187089624</x:v>
      </x:c>
      <x:c r="D32" s="124">
        <x:f t="shared" si="6"/>
        <x:v>37646557814</x:v>
      </x:c>
      <x:c r="E32" s="124">
        <x:f t="shared" si="6"/>
        <x:v>4540531810</x:v>
      </x:c>
      <x:c r="F32" s="124">
        <x:f t="shared" si="6"/>
        <x:v>54912240</x:v>
      </x:c>
      <x:c r="G32" s="442"/>
      <x:c r="H32" s="442"/>
      <x:c r="I32" s="442"/>
      <x:c r="J32" s="442"/>
      <x:c r="K32" s="442"/>
      <x:c r="L32" s="236"/>
    </x:row>
    <x:row r="33" spans="1:20" customHeight="1">
      <x:c r="A33" s="123" t="s">
        <x:v>1956</x:v>
      </x:c>
      <x:c r="B33" s="121">
        <x:f t="shared" ref="B33:B43" si="7">SUM(D33:F33)</x:f>
        <x:v>129702008</x:v>
      </x:c>
      <x:c r="C33" s="121">
        <x:f t="shared" ref="C33:C43" si="8">D33+E33</x:f>
        <x:v>129702008</x:v>
      </x:c>
      <x:c r="D33" s="121">
        <x:v>129702008</x:v>
      </x:c>
      <x:c r="E33" s="121">
        <x:v>0</x:v>
      </x:c>
      <x:c r="F33" s="121">
        <x:v>0</x:v>
      </x:c>
      <x:c r="G33" s="442"/>
      <x:c r="H33" s="442"/>
      <x:c r="I33" s="442"/>
      <x:c r="J33" s="442"/>
      <x:c r="K33" s="442"/>
      <x:c r="L33" s="236"/>
      <x:c r="T33" s="1">
        <x:v>327991</x:v>
      </x:c>
    </x:row>
    <x:row r="34" spans="1:12" customHeight="1">
      <x:c r="A34" s="123" t="s">
        <x:v>1937</x:v>
      </x:c>
      <x:c r="B34" s="121">
        <x:f t="shared" si="7"/>
        <x:v>5932148107</x:v>
      </x:c>
      <x:c r="C34" s="121">
        <x:f t="shared" si="8"/>
        <x:v>5932148107</x:v>
      </x:c>
      <x:c r="D34" s="121">
        <x:v>5892712561</x:v>
      </x:c>
      <x:c r="E34" s="121">
        <x:v>39435546</x:v>
      </x:c>
      <x:c r="F34" s="121">
        <x:v>0</x:v>
      </x:c>
      <x:c r="G34" s="442"/>
      <x:c r="H34" s="442"/>
      <x:c r="I34" s="442"/>
      <x:c r="J34" s="442"/>
      <x:c r="K34" s="442"/>
      <x:c r="L34" s="236"/>
    </x:row>
    <x:row r="35" spans="1:12" customHeight="1">
      <x:c r="A35" s="123" t="s">
        <x:v>519</x:v>
      </x:c>
      <x:c r="B35" s="121">
        <x:f t="shared" si="7"/>
        <x:v>474872242</x:v>
      </x:c>
      <x:c r="C35" s="121">
        <x:f t="shared" si="8"/>
        <x:v>474872242</x:v>
      </x:c>
      <x:c r="D35" s="121">
        <x:v>474872242</x:v>
      </x:c>
      <x:c r="E35" s="121">
        <x:v>0</x:v>
      </x:c>
      <x:c r="F35" s="121">
        <x:v>0</x:v>
      </x:c>
      <x:c r="G35" s="442"/>
      <x:c r="H35" s="442"/>
      <x:c r="I35" s="442"/>
      <x:c r="J35" s="442"/>
      <x:c r="K35" s="442"/>
      <x:c r="L35" s="236"/>
    </x:row>
    <x:row r="36" spans="1:12" customHeight="1">
      <x:c r="A36" s="123" t="s">
        <x:v>1938</x:v>
      </x:c>
      <x:c r="B36" s="121">
        <x:f t="shared" si="7"/>
        <x:v>4269846310</x:v>
      </x:c>
      <x:c r="C36" s="121">
        <x:f t="shared" si="8"/>
        <x:v>4269846310</x:v>
      </x:c>
      <x:c r="D36" s="121">
        <x:v>2662231278</x:v>
      </x:c>
      <x:c r="E36" s="121">
        <x:v>1607615032</x:v>
      </x:c>
      <x:c r="F36" s="121">
        <x:v>0</x:v>
      </x:c>
      <x:c r="G36" s="442"/>
      <x:c r="H36" s="442"/>
      <x:c r="I36" s="442"/>
      <x:c r="J36" s="442"/>
      <x:c r="K36" s="442"/>
      <x:c r="L36" s="236"/>
    </x:row>
    <x:row r="37" spans="1:12" customHeight="1">
      <x:c r="A37" s="123" t="s">
        <x:v>1512</x:v>
      </x:c>
      <x:c r="B37" s="121">
        <x:f t="shared" si="7"/>
        <x:v>554871567</x:v>
      </x:c>
      <x:c r="C37" s="121">
        <x:f t="shared" si="8"/>
        <x:v>554871567</x:v>
      </x:c>
      <x:c r="D37" s="121">
        <x:v>554871567</x:v>
      </x:c>
      <x:c r="E37" s="121">
        <x:v>0</x:v>
      </x:c>
      <x:c r="F37" s="121">
        <x:v>0</x:v>
      </x:c>
      <x:c r="G37" s="442"/>
      <x:c r="H37" s="442"/>
      <x:c r="I37" s="442"/>
      <x:c r="J37" s="442"/>
      <x:c r="K37" s="442"/>
      <x:c r="L37" s="236"/>
    </x:row>
    <x:row r="38" spans="1:12" customHeight="1">
      <x:c r="A38" s="123" t="s">
        <x:v>2005</x:v>
      </x:c>
      <x:c r="B38" s="121">
        <x:f t="shared" si="7"/>
        <x:v>1195877261</x:v>
      </x:c>
      <x:c r="C38" s="121">
        <x:f t="shared" si="8"/>
        <x:v>1195877261</x:v>
      </x:c>
      <x:c r="D38" s="121">
        <x:v>1195877261</x:v>
      </x:c>
      <x:c r="E38" s="121">
        <x:v>0</x:v>
      </x:c>
      <x:c r="F38" s="121">
        <x:v>0</x:v>
      </x:c>
      <x:c r="G38" s="442"/>
      <x:c r="H38" s="442"/>
      <x:c r="I38" s="442"/>
      <x:c r="J38" s="442"/>
      <x:c r="K38" s="442"/>
      <x:c r="L38" s="236"/>
    </x:row>
    <x:row r="39" spans="1:12" customHeight="1">
      <x:c r="A39" s="123" t="s">
        <x:v>2020</x:v>
      </x:c>
      <x:c r="B39" s="121">
        <x:f t="shared" si="7"/>
        <x:v>14042559485</x:v>
      </x:c>
      <x:c r="C39" s="121">
        <x:f t="shared" si="8"/>
        <x:v>14042559485</x:v>
      </x:c>
      <x:c r="D39" s="121">
        <x:v>11595408031</x:v>
      </x:c>
      <x:c r="E39" s="121">
        <x:v>2447151454</x:v>
      </x:c>
      <x:c r="F39" s="121">
        <x:v>0</x:v>
      </x:c>
      <x:c r="G39" s="442"/>
      <x:c r="H39" s="442"/>
      <x:c r="I39" s="442"/>
      <x:c r="J39" s="442"/>
      <x:c r="K39" s="442"/>
      <x:c r="L39" s="236"/>
    </x:row>
    <x:row r="40" spans="1:12" customHeight="1">
      <x:c r="A40" s="123" t="s">
        <x:v>1998</x:v>
      </x:c>
      <x:c r="B40" s="121">
        <x:f t="shared" si="7"/>
        <x:v>3029412433</x:v>
      </x:c>
      <x:c r="C40" s="121">
        <x:f t="shared" si="8"/>
        <x:v>3029412433</x:v>
      </x:c>
      <x:c r="D40" s="121">
        <x:v>2869836504</x:v>
      </x:c>
      <x:c r="E40" s="121">
        <x:v>159575929</x:v>
      </x:c>
      <x:c r="F40" s="121">
        <x:v>0</x:v>
      </x:c>
      <x:c r="G40" s="442"/>
      <x:c r="H40" s="442"/>
      <x:c r="I40" s="442"/>
      <x:c r="J40" s="442"/>
      <x:c r="K40" s="442"/>
      <x:c r="L40" s="236"/>
    </x:row>
    <x:row r="41" spans="1:12" customHeight="1">
      <x:c r="A41" s="123" t="s">
        <x:v>2022</x:v>
      </x:c>
      <x:c r="B41" s="121">
        <x:f>SUM(D41:F41)</x:f>
        <x:v>2367511141</x:v>
      </x:c>
      <x:c r="C41" s="121">
        <x:f>D41+E41</x:f>
        <x:v>2345220241</x:v>
      </x:c>
      <x:c r="D41" s="121">
        <x:v>2170913256</x:v>
      </x:c>
      <x:c r="E41" s="121">
        <x:v>174306985</x:v>
      </x:c>
      <x:c r="F41" s="624">
        <x:v>22290900</x:v>
      </x:c>
      <x:c r="G41" s="442"/>
      <x:c r="H41" s="442"/>
      <x:c r="I41" s="442"/>
      <x:c r="J41" s="442"/>
      <x:c r="K41" s="442"/>
      <x:c r="L41" s="236"/>
    </x:row>
    <x:row r="42" spans="1:12" customHeight="1">
      <x:c r="A42" s="123" t="s">
        <x:v>61</x:v>
      </x:c>
      <x:c r="B42" s="121">
        <x:f t="shared" si="7"/>
        <x:v>890727734</x:v>
      </x:c>
      <x:c r="C42" s="121">
        <x:f t="shared" si="8"/>
        <x:v>858106394</x:v>
      </x:c>
      <x:c r="D42" s="121">
        <x:v>858106394</x:v>
      </x:c>
      <x:c r="E42" s="121">
        <x:v>0</x:v>
      </x:c>
      <x:c r="F42" s="624">
        <x:v>32621340</x:v>
      </x:c>
      <x:c r="G42" s="442"/>
      <x:c r="H42" s="442"/>
      <x:c r="I42" s="442"/>
      <x:c r="J42" s="442"/>
      <x:c r="K42" s="442"/>
      <x:c r="L42" s="236"/>
    </x:row>
    <x:row r="43" spans="1:12" customHeight="1">
      <x:c r="A43" s="123" t="s">
        <x:v>1535</x:v>
      </x:c>
      <x:c r="B43" s="121">
        <x:f t="shared" si="7"/>
        <x:v>9354473576</x:v>
      </x:c>
      <x:c r="C43" s="121">
        <x:f t="shared" si="8"/>
        <x:v>9354473576</x:v>
      </x:c>
      <x:c r="D43" s="121">
        <x:v>9242026712</x:v>
      </x:c>
      <x:c r="E43" s="121">
        <x:v>112446864</x:v>
      </x:c>
      <x:c r="F43" s="121">
        <x:v>0</x:v>
      </x:c>
      <x:c r="G43" s="442"/>
      <x:c r="H43" s="442"/>
      <x:c r="I43" s="442"/>
      <x:c r="J43" s="442"/>
      <x:c r="K43" s="442"/>
      <x:c r="L43" s="236"/>
    </x:row>
    <x:row r="44" spans="6:6" customHeight="1">
      <x:c r="F44" s="242"/>
    </x:row>
    <x:row r="45" spans="1:3" customHeight="1">
      <x:c r="A45" s="122" t="s">
        <x:v>92</x:v>
      </x:c>
      <x:c r="B45" s="121">
        <x:v>42834815</x:v>
      </x:c>
      <x:c r="C45" s="121"/>
    </x:row>
    <x:row r="481" spans="21:21" customHeight="1">
      <x:c r="U481" s="72"/>
    </x:row>
    <x:row r="482" spans="21:21" customHeight="1">
      <x:c r="U482" s="72"/>
    </x:row>
    <x:row r="483" spans="21:21" customHeight="1">
      <x:c r="U483" s="72"/>
    </x:row>
    <x:row r="484" spans="21:21" customHeight="1">
      <x:c r="U484" s="72"/>
    </x:row>
  </x:sheetData>
  <x:mergeCells count="13">
    <x:mergeCell ref="F6:H6"/>
    <x:mergeCell ref="A2:I2"/>
    <x:mergeCell ref="T5:T6"/>
    <x:mergeCell ref="O9:O10"/>
    <x:mergeCell ref="A6:A7"/>
    <x:mergeCell ref="B6:B7"/>
    <x:mergeCell ref="I6:I7"/>
    <x:mergeCell ref="C6:E6"/>
    <x:mergeCell ref="A23:A24"/>
    <x:mergeCell ref="B23:B24"/>
    <x:mergeCell ref="I23:I24"/>
    <x:mergeCell ref="C23:E23"/>
    <x:mergeCell ref="F23:H23"/>
  </x:mergeCell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100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>
    <x:tabColor rgb="ff0000ff"/>
    <x:pageSetUpPr autoPageBreaks="1" fitToPage="1"/>
  </x:sheetPr>
  <x:dimension ref="A1:BE194"/>
  <x:sheetViews>
    <x:sheetView view="pageBreakPreview" topLeftCell="A1" zoomScale="40" zoomScaleNormal="55" zoomScaleSheetLayoutView="40" workbookViewId="0">
      <x:pane xSplit="0" ySplit="7" topLeftCell="A143" activePane="bottomLeft" state="frozen"/>
      <x:selection pane="bottomLeft" activeCell="I147" activeCellId="0" sqref="I147:I147"/>
    </x:sheetView>
  </x:sheetViews>
  <x:sheetFormatPr defaultColWidth="9" defaultRowHeight="50.100000000000001" customHeight="1"/>
  <x:cols>
    <x:col min="1" max="1" width="8.625" style="21" bestFit="1" customWidth="1"/>
    <x:col min="2" max="2" width="26.875" style="49" customWidth="1"/>
    <x:col min="3" max="3" width="23.25" style="49" bestFit="1" customWidth="1"/>
    <x:col min="4" max="4" width="26.375" style="49" bestFit="1" customWidth="1"/>
    <x:col min="5" max="5" width="8.625" style="49" bestFit="1" customWidth="1"/>
    <x:col min="6" max="7" width="15.625" style="62" customWidth="1"/>
    <x:col min="8" max="8" width="11.125" style="23" bestFit="1" customWidth="1"/>
    <x:col min="9" max="9" width="27.375" style="21" customWidth="1"/>
    <x:col min="10" max="10" width="45.625" style="21" customWidth="1"/>
    <x:col min="11" max="12" width="25.625" style="21" customWidth="1"/>
    <x:col min="13" max="13" width="25.625" style="465" customWidth="1"/>
    <x:col min="14" max="17" width="25.625" style="454" customWidth="1"/>
    <x:col min="18" max="18" width="17.375" style="21" bestFit="1" customWidth="1"/>
    <x:col min="19" max="19" width="19.625" style="30" bestFit="1" customWidth="1"/>
    <x:col min="20" max="20" width="25.125" style="30" bestFit="1" customWidth="1"/>
    <x:col min="21" max="21" width="14.875" style="30" bestFit="1" customWidth="1"/>
    <x:col min="22" max="22" width="26.625" style="30" customWidth="1"/>
    <x:col min="23" max="23" width="15.75" style="30" customWidth="1"/>
    <x:col min="24" max="24" width="16.5" style="30" customWidth="1"/>
    <x:col min="25" max="25" width="16.5" style="49" customWidth="1"/>
    <x:col min="26" max="26" width="6.875" style="21" customWidth="1"/>
    <x:col min="27" max="30" width="20.625" style="454" customWidth="1"/>
    <x:col min="31" max="31" width="2.625" style="21" customWidth="1"/>
    <x:col min="32" max="35" width="20.625" style="454" customWidth="1"/>
    <x:col min="36" max="36" width="2.625" style="21" customWidth="1"/>
    <x:col min="37" max="37" width="14.25" style="21" bestFit="1" customWidth="1"/>
    <x:col min="38" max="38" width="9" style="21" bestFit="1" customWidth="1"/>
    <x:col min="39" max="39" width="2.625" style="21" customWidth="1"/>
    <x:col min="40" max="40" width="14.25" style="21" bestFit="1" customWidth="1"/>
    <x:col min="41" max="41" width="11.125" style="21" customWidth="1"/>
    <x:col min="42" max="42" width="2.625" style="21" customWidth="1"/>
    <x:col min="43" max="43" width="9.5" style="21" bestFit="1" customWidth="1"/>
    <x:col min="44" max="44" width="2.625" style="21" customWidth="1"/>
    <x:col min="45" max="45" width="20.625" style="454" customWidth="1"/>
    <x:col min="46" max="46" width="8.875" style="21" bestFit="1" customWidth="1"/>
    <x:col min="47" max="47" width="16.625" style="21" customWidth="1"/>
    <x:col min="48" max="48" width="20.625" style="454" customWidth="1"/>
    <x:col min="49" max="49" width="8.875" style="21" bestFit="1" customWidth="1"/>
    <x:col min="50" max="50" width="16.625" style="21" customWidth="1"/>
    <x:col min="51" max="51" width="2.625" style="21" customWidth="1"/>
    <x:col min="52" max="52" width="20.625" style="454" customWidth="1"/>
    <x:col min="53" max="53" width="11.25" style="21" bestFit="1" customWidth="1"/>
    <x:col min="54" max="54" width="16.625" style="21" customWidth="1"/>
    <x:col min="55" max="55" width="20.625" style="454" customWidth="1"/>
    <x:col min="56" max="56" width="11.25" style="21" bestFit="1" customWidth="1"/>
    <x:col min="57" max="57" width="16.625" style="21" customWidth="1"/>
    <x:col min="58" max="16384" width="9" style="21"/>
  </x:cols>
  <x:sheetData>
    <x:row r="1" spans="1:57" s="332" customFormat="1" ht="90" customHeight="1">
      <x:c r="A1" s="948" t="s">
        <x:v>1440</x:v>
      </x:c>
      <x:c r="B1" s="948"/>
      <x:c r="C1" s="948"/>
      <x:c r="D1" s="948"/>
      <x:c r="E1" s="948"/>
      <x:c r="F1" s="948"/>
      <x:c r="G1" s="948"/>
      <x:c r="H1" s="948"/>
      <x:c r="I1" s="948"/>
      <x:c r="J1" s="948"/>
      <x:c r="K1" s="948"/>
      <x:c r="L1" s="948"/>
      <x:c r="M1" s="948"/>
      <x:c r="N1" s="948"/>
      <x:c r="O1" s="948"/>
      <x:c r="P1" s="948"/>
      <x:c r="Q1" s="948"/>
      <x:c r="R1" s="948"/>
      <x:c r="S1" s="948"/>
      <x:c r="T1" s="948"/>
      <x:c r="U1" s="948"/>
      <x:c r="V1" s="948"/>
      <x:c r="W1" s="948"/>
      <x:c r="X1" s="948"/>
      <x:c r="Y1" s="948"/>
      <x:c r="AA1" s="936" t="s">
        <x:v>1040</x:v>
      </x:c>
      <x:c r="AB1" s="937"/>
      <x:c r="AC1" s="937"/>
      <x:c r="AD1" s="938"/>
      <x:c r="AF1" s="933" t="s">
        <x:v>1040</x:v>
      </x:c>
      <x:c r="AG1" s="934"/>
      <x:c r="AH1" s="934"/>
      <x:c r="AI1" s="935"/>
      <x:c r="AK1" s="946" t="s">
        <x:v>1449</x:v>
      </x:c>
      <x:c r="AL1" s="947"/>
      <x:c r="AM1" s="450"/>
      <x:c r="AN1" s="946" t="s">
        <x:v>12</x:v>
      </x:c>
      <x:c r="AO1" s="947"/>
      <x:c r="AS1" s="959" t="s">
        <x:v>97</x:v>
      </x:c>
      <x:c r="AT1" s="960"/>
      <x:c r="AU1" s="960"/>
      <x:c r="AV1" s="960"/>
      <x:c r="AW1" s="960"/>
      <x:c r="AX1" s="961"/>
      <x:c r="AZ1" s="968" t="s">
        <x:v>97</x:v>
      </x:c>
      <x:c r="BA1" s="969"/>
      <x:c r="BB1" s="969"/>
      <x:c r="BC1" s="969"/>
      <x:c r="BD1" s="969"/>
      <x:c r="BE1" s="970"/>
    </x:row>
    <x:row r="2" spans="1:57" ht="39.75" customHeight="1">
      <x:c r="A2" s="23"/>
      <x:c r="B2" s="52"/>
      <x:c r="M2" s="454"/>
      <x:c r="Q2" s="455"/>
      <x:c r="AA2" s="466" t="s">
        <x:v>446</x:v>
      </x:c>
      <x:c r="AB2" s="467"/>
      <x:c r="AC2" s="466" t="s">
        <x:v>442</x:v>
      </x:c>
      <x:c r="AD2" s="467"/>
      <x:c r="AF2" s="466" t="s">
        <x:v>446</x:v>
      </x:c>
      <x:c r="AG2" s="467"/>
      <x:c r="AH2" s="466" t="s">
        <x:v>442</x:v>
      </x:c>
      <x:c r="AK2" s="446"/>
      <x:c r="AL2" s="446"/>
      <x:c r="AM2" s="22"/>
      <x:c r="AN2" s="446"/>
      <x:c r="AO2" s="446"/>
      <x:c r="AT2" s="376"/>
      <x:c r="AU2" s="376"/>
      <x:c r="AW2" s="376"/>
      <x:c r="AX2" s="376"/>
      <x:c r="BA2" s="376"/>
      <x:c r="BB2" s="376"/>
      <x:c r="BD2" s="376"/>
      <x:c r="BE2" s="376"/>
    </x:row>
    <x:row r="3" spans="1:57" ht="31.5">
      <x:c r="A3" s="23"/>
      <x:c r="M3" s="454"/>
      <x:c r="N3" s="456"/>
      <x:c r="O3" s="456"/>
      <x:c r="P3" s="456"/>
      <x:c r="Q3" s="456"/>
      <x:c r="R3" s="74"/>
      <x:c r="Y3" s="71" t="s">
        <x:v>1513</x:v>
      </x:c>
      <x:c r="AA3" s="492" t="str">
        <x:f>IF(AA7='3. 일출(의존)'!AB6,"OK","@@")</x:f>
        <x:v>@@</x:v>
      </x:c>
      <x:c r="AB3" s="467"/>
      <x:c r="AC3" s="492" t="str">
        <x:f>IF(SUM(AB7:AD7)=SUM('3. 일출(자체)'!AC6:AE6)+SUM('3. 일출(의존)'!AC6:AE6),"OK","@@")</x:f>
        <x:v>@@</x:v>
      </x:c>
      <x:c r="AD3" s="467"/>
      <x:c r="AF3" s="492" t="str">
        <x:f>IF(AF7='3. 일출(의존)'!AH6,"OK","@@")</x:f>
        <x:v>OK</x:v>
      </x:c>
      <x:c r="AG3" s="467"/>
      <x:c r="AH3" s="492" t="str">
        <x:f>IF(SUM(AG7:AI7)=SUM('3. 일출(자체)'!AH6:AJ6)+SUM('3. 일출(의존)'!AI6:AK6),"OK","@@")</x:f>
        <x:v>OK</x:v>
      </x:c>
      <x:c r="AI3" s="467"/>
      <x:c r="AK3" s="446"/>
      <x:c r="AL3" s="446"/>
      <x:c r="AM3" s="22"/>
      <x:c r="AN3" s="449"/>
      <x:c r="AO3" s="449"/>
      <x:c r="AU3" s="24"/>
      <x:c r="AX3" s="24"/>
      <x:c r="BB3" s="24"/>
      <x:c r="BE3" s="24"/>
    </x:row>
    <x:row r="4" spans="1:57" s="329" customFormat="1" ht="39.950000000000003" customHeight="1">
      <x:c r="A4" s="893" t="s">
        <x:v>116</x:v>
      </x:c>
      <x:c r="B4" s="904" t="s">
        <x:v>1933</x:v>
      </x:c>
      <x:c r="C4" s="904" t="s">
        <x:v>74</x:v>
      </x:c>
      <x:c r="D4" s="904" t="s">
        <x:v>94</x:v>
      </x:c>
      <x:c r="E4" s="894" t="s">
        <x:v>1320</x:v>
      </x:c>
      <x:c r="F4" s="894" t="s">
        <x:v>1646</x:v>
      </x:c>
      <x:c r="G4" s="894" t="s">
        <x:v>1620</x:v>
      </x:c>
      <x:c r="H4" s="893" t="s">
        <x:v>119</x:v>
      </x:c>
      <x:c r="I4" s="893" t="s">
        <x:v>126</x:v>
      </x:c>
      <x:c r="J4" s="893" t="s">
        <x:v>127</x:v>
      </x:c>
      <x:c r="K4" s="889" t="s">
        <x:v>1412</x:v>
      </x:c>
      <x:c r="L4" s="889" t="s">
        <x:v>1678</x:v>
      </x:c>
      <x:c r="M4" s="889" t="s">
        <x:v>443</x:v>
      </x:c>
      <x:c r="N4" s="902" t="s">
        <x:v>1661</x:v>
      </x:c>
      <x:c r="O4" s="891" t="s">
        <x:v>1357</x:v>
      </x:c>
      <x:c r="P4" s="902" t="s">
        <x:v>1636</x:v>
      </x:c>
      <x:c r="Q4" s="891" t="s">
        <x:v>1359</x:v>
      </x:c>
      <x:c r="R4" s="899" t="s">
        <x:v>1546</x:v>
      </x:c>
      <x:c r="S4" s="891" t="s">
        <x:v>1550</x:v>
      </x:c>
      <x:c r="T4" s="891" t="s">
        <x:v>441</x:v>
      </x:c>
      <x:c r="U4" s="891" t="s">
        <x:v>1619</x:v>
      </x:c>
      <x:c r="V4" s="891" t="s">
        <x:v>445</x:v>
      </x:c>
      <x:c r="W4" s="891" t="s">
        <x:v>551</x:v>
      </x:c>
      <x:c r="X4" s="902" t="s">
        <x:v>1547</x:v>
      </x:c>
      <x:c r="Y4" s="894" t="s">
        <x:v>1514</x:v>
      </x:c>
      <x:c r="Z4" s="328"/>
      <x:c r="AA4" s="944" t="s">
        <x:v>1522</x:v>
      </x:c>
      <x:c r="AB4" s="944"/>
      <x:c r="AC4" s="944"/>
      <x:c r="AD4" s="944"/>
      <x:c r="AF4" s="945" t="s">
        <x:v>1517</x:v>
      </x:c>
      <x:c r="AG4" s="945"/>
      <x:c r="AH4" s="945"/>
      <x:c r="AI4" s="945"/>
      <x:c r="AK4" s="957" t="s">
        <x:v>99</x:v>
      </x:c>
      <x:c r="AL4" s="958"/>
      <x:c r="AN4" s="957" t="s">
        <x:v>91</x:v>
      </x:c>
      <x:c r="AO4" s="958"/>
      <x:c r="AQ4" s="895" t="s">
        <x:v>65</x:v>
      </x:c>
      <x:c r="AS4" s="962" t="s">
        <x:v>1675</x:v>
      </x:c>
      <x:c r="AT4" s="963"/>
      <x:c r="AU4" s="963"/>
      <x:c r="AV4" s="963"/>
      <x:c r="AW4" s="963"/>
      <x:c r="AX4" s="964"/>
      <x:c r="AZ4" s="965" t="s">
        <x:v>1664</x:v>
      </x:c>
      <x:c r="BA4" s="966"/>
      <x:c r="BB4" s="966"/>
      <x:c r="BC4" s="966"/>
      <x:c r="BD4" s="966"/>
      <x:c r="BE4" s="967"/>
    </x:row>
    <x:row r="5" spans="1:57" s="329" customFormat="1" ht="39.950000000000003" customHeight="1">
      <x:c r="A5" s="893"/>
      <x:c r="B5" s="904"/>
      <x:c r="C5" s="904"/>
      <x:c r="D5" s="904"/>
      <x:c r="E5" s="894"/>
      <x:c r="F5" s="894"/>
      <x:c r="G5" s="894"/>
      <x:c r="H5" s="893"/>
      <x:c r="I5" s="893"/>
      <x:c r="J5" s="893"/>
      <x:c r="K5" s="889"/>
      <x:c r="L5" s="889"/>
      <x:c r="M5" s="889"/>
      <x:c r="N5" s="950"/>
      <x:c r="O5" s="891"/>
      <x:c r="P5" s="950"/>
      <x:c r="Q5" s="891"/>
      <x:c r="R5" s="899"/>
      <x:c r="S5" s="891"/>
      <x:c r="T5" s="891"/>
      <x:c r="U5" s="891"/>
      <x:c r="V5" s="891"/>
      <x:c r="W5" s="891"/>
      <x:c r="X5" s="950"/>
      <x:c r="Y5" s="894"/>
      <x:c r="Z5" s="328"/>
      <x:c r="AA5" s="939" t="s">
        <x:v>99</x:v>
      </x:c>
      <x:c r="AB5" s="941" t="s">
        <x:v>91</x:v>
      </x:c>
      <x:c r="AC5" s="942"/>
      <x:c r="AD5" s="943"/>
      <x:c r="AF5" s="939" t="s">
        <x:v>99</x:v>
      </x:c>
      <x:c r="AG5" s="941" t="s">
        <x:v>91</x:v>
      </x:c>
      <x:c r="AH5" s="942"/>
      <x:c r="AI5" s="943"/>
      <x:c r="AK5" s="955" t="s">
        <x:v>1032</x:v>
      </x:c>
      <x:c r="AL5" s="955" t="s">
        <x:v>98</x:v>
      </x:c>
      <x:c r="AM5" s="406"/>
      <x:c r="AN5" s="955" t="s">
        <x:v>1032</x:v>
      </x:c>
      <x:c r="AO5" s="955" t="s">
        <x:v>98</x:v>
      </x:c>
      <x:c r="AQ5" s="895"/>
      <x:c r="AS5" s="952" t="s">
        <x:v>99</x:v>
      </x:c>
      <x:c r="AT5" s="953"/>
      <x:c r="AU5" s="954"/>
      <x:c r="AV5" s="952" t="s">
        <x:v>91</x:v>
      </x:c>
      <x:c r="AW5" s="953"/>
      <x:c r="AX5" s="954"/>
      <x:c r="AZ5" s="952" t="s">
        <x:v>99</x:v>
      </x:c>
      <x:c r="BA5" s="953"/>
      <x:c r="BB5" s="954"/>
      <x:c r="BC5" s="952" t="s">
        <x:v>91</x:v>
      </x:c>
      <x:c r="BD5" s="953"/>
      <x:c r="BE5" s="954"/>
    </x:row>
    <x:row r="6" spans="1:57" s="329" customFormat="1" ht="60" customHeight="1">
      <x:c r="A6" s="893"/>
      <x:c r="B6" s="904"/>
      <x:c r="C6" s="904"/>
      <x:c r="D6" s="904"/>
      <x:c r="E6" s="894"/>
      <x:c r="F6" s="894"/>
      <x:c r="G6" s="894"/>
      <x:c r="H6" s="893"/>
      <x:c r="I6" s="893"/>
      <x:c r="J6" s="893"/>
      <x:c r="K6" s="890"/>
      <x:c r="L6" s="890"/>
      <x:c r="M6" s="890"/>
      <x:c r="N6" s="903"/>
      <x:c r="O6" s="892"/>
      <x:c r="P6" s="903"/>
      <x:c r="Q6" s="892"/>
      <x:c r="R6" s="899"/>
      <x:c r="S6" s="891"/>
      <x:c r="T6" s="891"/>
      <x:c r="U6" s="891"/>
      <x:c r="V6" s="891"/>
      <x:c r="W6" s="891"/>
      <x:c r="X6" s="903"/>
      <x:c r="Y6" s="904"/>
      <x:c r="Z6" s="328"/>
      <x:c r="AA6" s="940"/>
      <x:c r="AB6" s="469" t="s">
        <x:v>172</x:v>
      </x:c>
      <x:c r="AC6" s="469" t="s">
        <x:v>153</x:v>
      </x:c>
      <x:c r="AD6" s="469" t="s">
        <x:v>879</x:v>
      </x:c>
      <x:c r="AF6" s="940"/>
      <x:c r="AG6" s="469" t="s">
        <x:v>172</x:v>
      </x:c>
      <x:c r="AH6" s="469" t="s">
        <x:v>153</x:v>
      </x:c>
      <x:c r="AI6" s="469" t="s">
        <x:v>879</x:v>
      </x:c>
      <x:c r="AK6" s="956"/>
      <x:c r="AL6" s="956"/>
      <x:c r="AM6" s="406"/>
      <x:c r="AN6" s="956"/>
      <x:c r="AO6" s="956"/>
      <x:c r="AQ6" s="896"/>
      <x:c r="AS6" s="469" t="s">
        <x:v>101</x:v>
      </x:c>
      <x:c r="AT6" s="330" t="s">
        <x:v>106</x:v>
      </x:c>
      <x:c r="AU6" s="378" t="s">
        <x:v>431</x:v>
      </x:c>
      <x:c r="AV6" s="469" t="s">
        <x:v>101</x:v>
      </x:c>
      <x:c r="AW6" s="367" t="s">
        <x:v>106</x:v>
      </x:c>
      <x:c r="AX6" s="378" t="s">
        <x:v>431</x:v>
      </x:c>
      <x:c r="AZ6" s="469" t="s">
        <x:v>101</x:v>
      </x:c>
      <x:c r="BA6" s="330" t="s">
        <x:v>106</x:v>
      </x:c>
      <x:c r="BB6" s="378" t="s">
        <x:v>431</x:v>
      </x:c>
      <x:c r="BC6" s="469" t="s">
        <x:v>101</x:v>
      </x:c>
      <x:c r="BD6" s="367" t="s">
        <x:v>106</x:v>
      </x:c>
      <x:c r="BE6" s="378" t="s">
        <x:v>431</x:v>
      </x:c>
    </x:row>
    <x:row r="7" spans="1:57" s="396" customFormat="1" ht="80.099999999999994" customHeight="1">
      <x:c r="A7" s="401"/>
      <x:c r="B7" s="179" t="s">
        <x:v>102</x:v>
      </x:c>
      <x:c r="C7" s="399"/>
      <x:c r="D7" s="399"/>
      <x:c r="E7" s="399"/>
      <x:c r="F7" s="399"/>
      <x:c r="G7" s="399"/>
      <x:c r="H7" s="390"/>
      <x:c r="I7" s="404"/>
      <x:c r="J7" s="390" t="str">
        <x:f>SUBTOTAL(3,J$8:J$2000)&amp;"건"</x:f>
        <x:v>5건</x:v>
      </x:c>
      <x:c r="K7" s="457">
        <x:f t="shared" ref="K7:Q7" si="0">SUBTOTAL(9,K$8:K$2000)</x:f>
        <x:v>10930645</x:v>
      </x:c>
      <x:c r="L7" s="457">
        <x:f t="shared" si="0"/>
        <x:v>538658</x:v>
      </x:c>
      <x:c r="M7" s="457">
        <x:f t="shared" si="0"/>
        <x:v>11469303</x:v>
      </x:c>
      <x:c r="N7" s="457">
        <x:f t="shared" si="0"/>
        <x:v>-402425</x:v>
      </x:c>
      <x:c r="O7" s="457">
        <x:f t="shared" si="0"/>
        <x:v>11066878</x:v>
      </x:c>
      <x:c r="P7" s="457">
        <x:f t="shared" si="0"/>
        <x:v>0</x:v>
      </x:c>
      <x:c r="Q7" s="457">
        <x:f t="shared" si="0"/>
        <x:v>11469303</x:v>
      </x:c>
      <x:c r="R7" s="179"/>
      <x:c r="S7" s="179"/>
      <x:c r="T7" s="179"/>
      <x:c r="U7" s="179"/>
      <x:c r="V7" s="179"/>
      <x:c r="W7" s="179"/>
      <x:c r="X7" s="179"/>
      <x:c r="Y7" s="401"/>
      <x:c r="Z7" s="402"/>
      <x:c r="AA7" s="457">
        <x:f>SUBTOTAL(9,AA$8:AA$2000)</x:f>
        <x:v>84100</x:v>
      </x:c>
      <x:c r="AB7" s="457">
        <x:f>SUBTOTAL(9,AB$8:AB$2000)</x:f>
        <x:v>-22405</x:v>
      </x:c>
      <x:c r="AC7" s="457">
        <x:f>SUBTOTAL(9,AC$8:AC$2000)</x:f>
        <x:v>-464120</x:v>
      </x:c>
      <x:c r="AD7" s="457">
        <x:f>SUBTOTAL(9,AD$8:AD$2000)</x:f>
        <x:v>0</x:v>
      </x:c>
      <x:c r="AF7" s="457">
        <x:f>SUBTOTAL(9,AF$8:AF$2000)</x:f>
        <x:v>0</x:v>
      </x:c>
      <x:c r="AG7" s="457">
        <x:f>SUBTOTAL(9,AG$8:AG$2000)</x:f>
        <x:v>0</x:v>
      </x:c>
      <x:c r="AH7" s="457">
        <x:f>SUBTOTAL(9,AH$8:AH$2000)</x:f>
        <x:v>0</x:v>
      </x:c>
      <x:c r="AI7" s="457">
        <x:f>SUBTOTAL(9,AI$8:AI$2000)</x:f>
        <x:v>0</x:v>
      </x:c>
      <x:c r="AK7" s="394"/>
      <x:c r="AL7" s="394"/>
      <x:c r="AN7" s="394"/>
      <x:c r="AO7" s="394"/>
      <x:c r="AQ7" s="394"/>
      <x:c r="AS7" s="457">
        <x:f>SUBTOTAL(9,AS$8:AS$2000)</x:f>
        <x:v>47350</x:v>
      </x:c>
      <x:c r="AT7" s="405">
        <x:f>SUBTOTAL(9,AT$8:AT$2000)</x:f>
        <x:v>2</x:v>
      </x:c>
      <x:c r="AU7" s="403" t="str">
        <x:f>IF(COUNTIF(AU$8:AU$2000,"@@")&gt;0,"@@","OK")</x:f>
        <x:v>@@</x:v>
      </x:c>
      <x:c r="AV7" s="457">
        <x:f>SUBTOTAL(9,AV$8:AV$2000)</x:f>
        <x:v>-464120</x:v>
      </x:c>
      <x:c r="AW7" s="405">
        <x:f>SUBTOTAL(9,AW$8:AW$2000)</x:f>
        <x:v>1</x:v>
      </x:c>
      <x:c r="AX7" s="403" t="str">
        <x:f>IF(COUNTIF(AX$8:AX$2000,"@@")&gt;0,"@@","OK")</x:f>
        <x:v>OK</x:v>
      </x:c>
      <x:c r="AZ7" s="457">
        <x:f>SUBTOTAL(9,AZ$8:AZ$2000)</x:f>
        <x:v>0</x:v>
      </x:c>
      <x:c r="BA7" s="405">
        <x:f>SUBTOTAL(9,BA$8:BA$2000)</x:f>
        <x:v>2</x:v>
      </x:c>
      <x:c r="BB7" s="403" t="str">
        <x:f>IF(COUNTIF(BB$8:BB$2000,"@@")&gt;0,"@@","OK")</x:f>
        <x:v>OK</x:v>
      </x:c>
      <x:c r="BC7" s="457">
        <x:f>SUBTOTAL(9,BC$8:BC$2000)</x:f>
        <x:v>0</x:v>
      </x:c>
      <x:c r="BD7" s="405">
        <x:f>SUBTOTAL(9,BD$8:BD$2000)</x:f>
        <x:v>1</x:v>
      </x:c>
      <x:c r="BE7" s="403" t="str">
        <x:f>IF(COUNTIF(BE$8:BE$2000,"@@")&gt;0,"@@","OK")</x:f>
        <x:v>OK</x:v>
      </x:c>
    </x:row>
    <x:row r="8" spans="1:57" ht="60" customHeight="1">
      <x:c r="A8" s="78"/>
      <x:c r="B8" s="888" t="s">
        <x:v>1525</x:v>
      </x:c>
      <x:c r="C8" s="888"/>
      <x:c r="D8" s="888"/>
      <x:c r="E8" s="888"/>
      <x:c r="F8" s="888"/>
      <x:c r="G8" s="888"/>
      <x:c r="H8" s="210"/>
      <x:c r="I8" s="210"/>
      <x:c r="J8" s="409" t="str">
        <x:f>SUBTOTAL(3,J9:J24)&amp;"건"</x:f>
        <x:v>0건</x:v>
      </x:c>
      <x:c r="K8" s="458">
        <x:f t="shared" ref="K8:L8" si="1">SUBTOTAL(9,K9:K24)</x:f>
        <x:v>0</x:v>
      </x:c>
      <x:c r="L8" s="458">
        <x:f t="shared" si="1"/>
        <x:v>0</x:v>
      </x:c>
      <x:c r="M8" s="458">
        <x:f t="shared" ref="M8:Q8" si="2">SUBTOTAL(9,M9:M24)</x:f>
        <x:v>0</x:v>
      </x:c>
      <x:c r="N8" s="458">
        <x:f t="shared" si="2"/>
        <x:v>0</x:v>
      </x:c>
      <x:c r="O8" s="458">
        <x:f t="shared" si="2"/>
        <x:v>0</x:v>
      </x:c>
      <x:c r="P8" s="458">
        <x:f t="shared" si="2"/>
        <x:v>0</x:v>
      </x:c>
      <x:c r="Q8" s="458">
        <x:f t="shared" si="2"/>
        <x:v>0</x:v>
      </x:c>
      <x:c r="R8" s="78"/>
      <x:c r="S8" s="78"/>
      <x:c r="T8" s="78"/>
      <x:c r="U8" s="78"/>
      <x:c r="V8" s="78"/>
      <x:c r="W8" s="78"/>
      <x:c r="X8" s="78"/>
      <x:c r="Y8" s="80"/>
      <x:c r="Z8" s="43"/>
      <x:c r="AA8" s="470">
        <x:f>SUBTOTAL(9,AA9:AA24)</x:f>
        <x:v>0</x:v>
      </x:c>
      <x:c r="AB8" s="470">
        <x:f t="shared" ref="AB8:AD8" si="3">SUBTOTAL(9,AB9:AB24)</x:f>
        <x:v>0</x:v>
      </x:c>
      <x:c r="AC8" s="470">
        <x:f t="shared" si="3"/>
        <x:v>0</x:v>
      </x:c>
      <x:c r="AD8" s="470">
        <x:f t="shared" si="3"/>
        <x:v>0</x:v>
      </x:c>
      <x:c r="AE8" s="166"/>
      <x:c r="AF8" s="470">
        <x:f>SUBTOTAL(9,AF9:AF24)</x:f>
        <x:v>0</x:v>
      </x:c>
      <x:c r="AG8" s="470">
        <x:f t="shared" ref="AG8:AI8" si="4">SUBTOTAL(9,AG9:AG24)</x:f>
        <x:v>0</x:v>
      </x:c>
      <x:c r="AH8" s="470">
        <x:f t="shared" si="4"/>
        <x:v>0</x:v>
      </x:c>
      <x:c r="AI8" s="470">
        <x:f t="shared" si="4"/>
        <x:v>0</x:v>
      </x:c>
      <x:c r="AJ8" s="53"/>
      <x:c r="AK8" s="80"/>
      <x:c r="AL8" s="80"/>
      <x:c r="AM8" s="53"/>
      <x:c r="AN8" s="80"/>
      <x:c r="AO8" s="80"/>
      <x:c r="AP8" s="53"/>
      <x:c r="AQ8" s="80"/>
      <x:c r="AR8" s="53"/>
      <x:c r="AS8" s="470">
        <x:f>SUBTOTAL(9,AS9:AS24)</x:f>
        <x:v>0</x:v>
      </x:c>
      <x:c r="AT8" s="470">
        <x:f>SUBTOTAL(9,AT9:AT24)</x:f>
        <x:v>0</x:v>
      </x:c>
      <x:c r="AU8" s="554" t="str">
        <x:f>IF(COUNTIF(AU9:AU24,"@@")&gt;0,"@@","OK")</x:f>
        <x:v>OK</x:v>
      </x:c>
      <x:c r="AV8" s="470">
        <x:f>SUBTOTAL(9,AV9:AV24)</x:f>
        <x:v>0</x:v>
      </x:c>
      <x:c r="AW8" s="470">
        <x:f>SUBTOTAL(9,AW9:AW24)</x:f>
        <x:v>0</x:v>
      </x:c>
      <x:c r="AX8" s="554" t="str">
        <x:f>IF(COUNTIF(AX9:AX24,"@@")&gt;0,"@@","OK")</x:f>
        <x:v>OK</x:v>
      </x:c>
      <x:c r="AY8" s="53"/>
      <x:c r="AZ8" s="470">
        <x:f>SUBTOTAL(9,AZ9:AZ24)</x:f>
        <x:v>0</x:v>
      </x:c>
      <x:c r="BA8" s="470">
        <x:f>SUBTOTAL(9,BA9:BA24)</x:f>
        <x:v>0</x:v>
      </x:c>
      <x:c r="BB8" s="554" t="str">
        <x:f>IF(COUNTIF(BB9:BB24,"@@")&gt;0,"@@","OK")</x:f>
        <x:v>OK</x:v>
      </x:c>
      <x:c r="BC8" s="470">
        <x:f>SUBTOTAL(9,BC9:BC24)</x:f>
        <x:v>0</x:v>
      </x:c>
      <x:c r="BD8" s="470">
        <x:f>SUBTOTAL(9,BD9:BD24)</x:f>
        <x:v>0</x:v>
      </x:c>
      <x:c r="BE8" s="554" t="str">
        <x:f>IF(COUNTIF(BE9:BE24,"@@")&gt;0,"@@","OK")</x:f>
        <x:v>OK</x:v>
      </x:c>
    </x:row>
    <x:row r="9" spans="1:57" s="20" customFormat="1" ht="80.099999999999994" customHeight="1">
      <x:c r="A9" s="155" t="str">
        <x:f>IF(D9="","",COUNTA($C$8:C9)-COUNTBLANK($C$8:C9)+1)</x:f>
        <x:v/>
      </x:c>
      <x:c r="B9" s="156" t="str">
        <x: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x:f>
        <x:v/>
      </x:c>
      <x:c r="C9" s="156" t="str">
        <x:f>IF(D9="","",IF(OR(D9="교육지원과",D9="총무과",D9="인사과"),"직접입력",VLOOKUP(D9,구분표!$A$3:$C$258,3,)))</x:f>
        <x:v/>
      </x:c>
      <x:c r="D9" s="219"/>
      <x:c r="E9" s="213"/>
      <x:c r="F9" s="388" t="str">
        <x:f>IF($E9="","",IF($E9="2추","직접입력","-"))</x:f>
        <x:v/>
      </x:c>
      <x:c r="G9" s="388" t="str">
        <x:f>IF($E9="","",IF($E9="2추","직접입력","-"))</x:f>
        <x:v/>
      </x:c>
      <x:c r="H9" s="213"/>
      <x:c r="I9" s="156" t="str">
        <x:f>IF(H9="","",VLOOKUP($H9,구분표!$O$3:$P$168,2,FALSE))</x:f>
        <x:v/>
      </x:c>
      <x:c r="J9" s="215"/>
      <x:c r="K9" s="459" t="str">
        <x:f>IF($E9="","",IF(OR($E9="2추",$E9="1추",$E9="본예산"),"금액입력","-"))</x:f>
        <x:v/>
      </x:c>
      <x:c r="L9" s="459" t="str">
        <x:f>IF($E9="","",IF($E9="2추","금액입력","-"))</x:f>
        <x:v/>
      </x:c>
      <x:c r="M9" s="461" t="str">
        <x:f>IF($E9="","",SUM(K9:L9))</x:f>
        <x:v/>
      </x:c>
      <x:c r="N9" s="460"/>
      <x:c r="O9" s="461">
        <x:f>SUM(M9:N9)</x:f>
        <x:v>0</x:v>
      </x:c>
      <x:c r="P9" s="462"/>
      <x:c r="Q9" s="463">
        <x:f>SUM(M9,P9)</x:f>
        <x:v>0</x:v>
      </x:c>
      <x:c r="R9" s="162" t="str">
        <x:f>IF(AND((O9=0),(Q9&gt;0)),"O",IF(AND((N9&lt;0),(O9-Q9&lt;0)),"O","X"))</x:f>
        <x:v>X</x:v>
      </x:c>
      <x:c r="S9" s="216"/>
      <x:c r="T9" s="327"/>
      <x:c r="U9" s="217"/>
      <x:c r="V9" s="203"/>
      <x:c r="W9" s="217"/>
      <x:c r="X9" s="217"/>
      <x:c r="Y9" s="162" t="str">
        <x:f>IF($H9="","",IF(OR($H9="511-01",$H9="511-02",$H9="511-03",$H9="311-02",$H9="311-04",$H9="321-01"),"국비","도비"))</x:f>
        <x:v/>
      </x:c>
      <x:c r="Z9" s="45"/>
      <x:c r="AA9" s="471" t="str">
        <x:f>IF($Y9="국비",IF($N9&lt;&gt;"",$N9,0),"")</x:f>
        <x:v/>
      </x:c>
      <x:c r="AB9" s="471" t="str">
        <x:f>IF($Y9="도비",IF($AO9="자체",IF($N9&lt;&gt;"",$N9,0),""),"")</x:f>
        <x:v/>
      </x:c>
      <x:c r="AC9" s="471" t="str">
        <x:f>IF($Y9="도비",IF($AO9="지방채",IF($N9&lt;&gt;"",$N9,0),""),"")</x:f>
        <x:v/>
      </x:c>
      <x:c r="AD9" s="471" t="str">
        <x:f>IF($Y9="도비",IF($AO9="지역개발기금",IF($N9&lt;&gt;"",$N9,0),""),"")</x:f>
        <x:v/>
      </x:c>
      <x:c r="AE9" s="46"/>
      <x:c r="AF9" s="471" t="str">
        <x:f>IF($Y9="국비",IF($P9&lt;&gt;"",$P9,0),"")</x:f>
        <x:v/>
      </x:c>
      <x:c r="AG9" s="471" t="str">
        <x:f>IF($Y9="도비",IF($AO9="자체",IF($P9&lt;&gt;"",$P9,0),""),"")</x:f>
        <x:v/>
      </x:c>
      <x:c r="AH9" s="471" t="str">
        <x:f>IF($Y9="도비",IF($AO9="지방채",IF($P9&lt;&gt;"",$P9,0),""),"")</x:f>
        <x:v/>
      </x:c>
      <x:c r="AI9" s="471" t="str">
        <x:f>IF($Y9="도비",IF($AO9="지역개발기금",IF($P9&lt;&gt;"",$P9,0),""),"")</x:f>
        <x:v/>
      </x:c>
      <x:c r="AJ9" s="87"/>
      <x:c r="AK9" s="374" t="str">
        <x:f>IF($AQ9="","",IF(OR($AL9="",$AL9="도비"),"",CONCATENATE($AQ9,"-",COUNTIF($AQ$8:$AQ9,$AQ9))))</x:f>
        <x:v/>
      </x:c>
      <x:c r="AL9" s="374" t="str">
        <x:f>IF($H9="","",IF($H9="511-01","국비",IF($H9="511-02","균특",IF($H9="511-03","기금",IF($H9="311-02","특교",IF($H9="311-04","소교",IF($H9="321-01","소멸","도비")))))))</x:f>
        <x:v/>
      </x:c>
      <x:c r="AM9" s="87"/>
      <x:c r="AN9" s="375" t="str">
        <x:f>IF($AQ9="","",IF(OR($AO9="",$AO9="국비",$AO9="자체"),"",CONCATENATE($AQ9,"-",$AO9,"-",COUNTIF($AQ$8:$AQ9,$AQ9))))</x:f>
        <x:v/>
      </x:c>
      <x:c r="AO9" s="375" t="str">
        <x:f>IF($Y9="","",IF($Y9="국비","국비",IF($H9="612-01","지방채",IF($H9="722-02","지역개발기금","자체"))))</x:f>
        <x:v/>
      </x:c>
      <x:c r="AP9" s="87"/>
      <x:c r="AQ9" s="374" t="str">
        <x:f t="array" ref="AQ9:AQ9">IF(OR($D9="",$C9="직접입력",$B9="직접입력"),"",INDEX(구분표!$I$2:$I$337,MATCH(1,(구분표!$G$2:$G$337='3. 일입'!$B9)*(구분표!$E$2:$E$337='3. 일입'!$C9)*(구분표!$F$2:$F$337='3. 일입'!$D9),0)))</x:f>
        <x:v/>
      </x:c>
      <x:c r="AR9" s="87"/>
      <x:c r="AS9" s="472" t="str">
        <x:f>IF($AK9="","",SUMIFS('3. 일출(의존)'!$AB$7:$AB$1989,'3. 일출(의존)'!$AN$7:$AN$1989,$AK9))</x:f>
        <x:v/>
      </x:c>
      <x:c r="AT9" s="377" t="str">
        <x:f>IF($AK9="","",COUNTIF('3. 일출(의존)'!$AN$7:$AN$1989,$AK9))</x:f>
        <x:v/>
      </x:c>
      <x:c r="AU9" s="374" t="str">
        <x:f>IF($AK9="","",IF($AA9=$AS9,"OK","@@"))</x:f>
        <x:v/>
      </x:c>
      <x:c r="AV9" s="472" t="str">
        <x:f>IF($AN9="","",IF($AO9="지역개발기금",SUMIFS('3. 일출(의존)'!$AE$8:$AE$2000,'3. 일출(의존)'!$AS$8:$AS$2000,$AN9)+SUMIFS('3. 일출(자체)'!$AE$8:$AE$2000,'3. 일출(자체)'!$AM$8:$AM$2000,$AN9),IF($AO9="지방채",SUMIFS('3. 일출(의존)'!$AD$8:$AD$2000,'3. 일출(의존)'!$AS$8:$AS$2000,$AN9)+SUMIFS('3. 일출(자체)'!$AD$8:$AD$2000,'3. 일출(자체)'!$AM$8:$AM$2000,$AN9),0)))</x:f>
        <x:v/>
      </x:c>
      <x:c r="AW9" s="377" t="str">
        <x:f>IF($AN9="","",COUNTIF('3. 일출(의존)'!$AS$8:$AS$2000,$AN9)+COUNTIF('3. 일출(자체)'!$AM$8:$AM$2000,$AN9))</x:f>
        <x:v/>
      </x:c>
      <x:c r="AX9" s="374" t="str">
        <x:f>IF($AN9="","",IF($AO9="자체","",IF($AO9="지방채",IF($AC9=$AV9,"OK","@@"),IF($AO9="지역개발기금",IF($AD9=$AV9,"OK","@@"),"@@"))))</x:f>
        <x:v/>
      </x:c>
      <x:c r="AY9" s="91"/>
      <x:c r="AZ9" s="472" t="str">
        <x:f>IF($AK9="","",SUMIFS('3. 일출(의존)'!$AH$8:$AH$1989,'3. 일출(의존)'!$AN$8:$AN$1989,$AK9))</x:f>
        <x:v/>
      </x:c>
      <x:c r="BA9" s="377" t="str">
        <x:f>IF($AK9="","",COUNTIF('3. 일출(의존)'!$AN$7:$AN$1989,$AK9))</x:f>
        <x:v/>
      </x:c>
      <x:c r="BB9" s="374" t="str">
        <x:f>IF($AK9="","",IF($AF9=$AZ9,"OK","@@"))</x:f>
        <x:v/>
      </x:c>
      <x:c r="BC9" s="472" t="str">
        <x:f>IF($AN9="","",IF($AO9="지역개발기금",SUMIFS('3. 일출(의존)'!$AK$8:$AK$2000,'3. 일출(의존)'!$AS$8:$AS$2000,$AN9)+SUMIFS('3. 일출(자체)'!$AJ$8:$AJ$2000,'3. 일출(자체)'!$AM$8:$AM$2000,$AN9),IF($AO9="지방채",SUMIFS('3. 일출(의존)'!$AJ$8:$AJ$2000,'3. 일출(의존)'!$AS$8:$AS$2000,$AN9)+SUMIFS('3. 일출(자체)'!$AI$8:$AI$2000,'3. 일출(자체)'!$AM$8:$AM$2000,$AN9),0)))</x:f>
        <x:v/>
      </x:c>
      <x:c r="BD9" s="377" t="str">
        <x:f>IF($AN9="","",COUNTIF('3. 일출(의존)'!$AS$8:$AS$2000,$AN9)+COUNTIF('3. 일출(자체)'!$AM$8:$AM$2000,$AN9))</x:f>
        <x:v/>
      </x:c>
      <x:c r="BE9" s="374" t="str">
        <x:f>IF($AN9="","",IF($AO9="자체","",IF($AO9="지방채",IF($AH9=$BC9,"OK","@@"),IF($AO9="지역개발기금",IF($AI9=$BC9,"OK","@@"),"@@"))))</x:f>
        <x:v/>
      </x:c>
    </x:row>
    <x:row r="10" spans="1:57" s="20" customFormat="1" ht="80.099999999999994" customHeight="1">
      <x:c r="A10" s="155" t="str">
        <x:f>IF(D10="","",COUNTA($C$8:C10)-COUNTBLANK($C$8:C10)+1)</x:f>
        <x:v/>
      </x:c>
      <x:c r="B10" s="156" t="str">
        <x: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x:f>
        <x:v/>
      </x:c>
      <x:c r="C10" s="156" t="str">
        <x:f>IF(D10="","",IF(OR(D10="교육지원과",D10="총무과",D10="인사과"),"직접입력",VLOOKUP(D10,구분표!$A$3:$C$258,3,)))</x:f>
        <x:v/>
      </x:c>
      <x:c r="D10" s="219"/>
      <x:c r="E10" s="213"/>
      <x:c r="F10" s="388" t="str">
        <x:f t="shared" ref="F10:G24" si="5">IF($E10="","",IF($E10="2추","직접입력","-"))</x:f>
        <x:v/>
      </x:c>
      <x:c r="G10" s="388" t="str">
        <x:f t="shared" si="5"/>
        <x:v/>
      </x:c>
      <x:c r="H10" s="213"/>
      <x:c r="I10" s="156" t="str">
        <x:f>IF(H10="","",VLOOKUP($H10,구분표!$O$3:$P$168,2,FALSE))</x:f>
        <x:v/>
      </x:c>
      <x:c r="J10" s="215"/>
      <x:c r="K10" s="459" t="str">
        <x:f t="shared" ref="K10:K24" si="6">IF($E10="","",IF(OR($E10="2추",$E10="1추",$E10="본예산"),"금액입력","-"))</x:f>
        <x:v/>
      </x:c>
      <x:c r="L10" s="459" t="str">
        <x:f t="shared" ref="L10:L24" si="7">IF($E10="","",IF($E10="2추","금액입력","-"))</x:f>
        <x:v/>
      </x:c>
      <x:c r="M10" s="461" t="str">
        <x:f t="shared" ref="M10:M24" si="8">IF($E10="","",SUM(K10:L10))</x:f>
        <x:v/>
      </x:c>
      <x:c r="N10" s="460"/>
      <x:c r="O10" s="461">
        <x:f t="shared" ref="O10:O24" si="9">SUM(M10:N10)</x:f>
        <x:v>0</x:v>
      </x:c>
      <x:c r="P10" s="462"/>
      <x:c r="Q10" s="463">
        <x:f t="shared" ref="Q10:Q24" si="10">SUM(M10,P10)</x:f>
        <x:v>0</x:v>
      </x:c>
      <x:c r="R10" s="162" t="str">
        <x:f t="shared" ref="R10:R24" si="11">IF(AND((O10=0),(Q10&gt;0)),"O",IF(AND((N10&lt;0),(O10-Q10&lt;0)),"O","X"))</x:f>
        <x:v>X</x:v>
      </x:c>
      <x:c r="S10" s="216"/>
      <x:c r="T10" s="327"/>
      <x:c r="U10" s="217"/>
      <x:c r="V10" s="203"/>
      <x:c r="W10" s="217"/>
      <x:c r="X10" s="217"/>
      <x:c r="Y10" s="162" t="str">
        <x:f t="shared" ref="Y10:Y24" si="12">IF($H10="","",IF(OR($H10="511-01",$H10="511-02",$H10="511-03",$H10="311-02",$H10="311-04",$H10="321-01"),"국비","도비"))</x:f>
        <x:v/>
      </x:c>
      <x:c r="Z10" s="45"/>
      <x:c r="AA10" s="471" t="str">
        <x:f t="shared" ref="AA10:AA24" si="13">IF($Y10="국비",IF($N10&lt;&gt;"",$N10,0),"")</x:f>
        <x:v/>
      </x:c>
      <x:c r="AB10" s="471" t="str">
        <x:f t="shared" ref="AB10:AB24" si="14">IF($Y10="도비",IF($AO10="자체",IF($N10&lt;&gt;"",$N10,0),""),"")</x:f>
        <x:v/>
      </x:c>
      <x:c r="AC10" s="471" t="str">
        <x:f t="shared" ref="AC10:AC24" si="15">IF($Y10="도비",IF($AO10="지방채",IF($N10&lt;&gt;"",$N10,0),""),"")</x:f>
        <x:v/>
      </x:c>
      <x:c r="AD10" s="471" t="str">
        <x:f t="shared" ref="AD10:AD24" si="16">IF($Y10="도비",IF($AO10="지역개발기금",IF($N10&lt;&gt;"",$N10,0),""),"")</x:f>
        <x:v/>
      </x:c>
      <x:c r="AE10" s="46"/>
      <x:c r="AF10" s="471" t="str">
        <x:f t="shared" ref="AF10:AF24" si="17">IF($Y10="국비",IF($P10&lt;&gt;"",$P10,0),"")</x:f>
        <x:v/>
      </x:c>
      <x:c r="AG10" s="471" t="str">
        <x:f t="shared" ref="AG10:AG24" si="18">IF($Y10="도비",IF($AO10="자체",IF($P10&lt;&gt;"",$P10,0),""),"")</x:f>
        <x:v/>
      </x:c>
      <x:c r="AH10" s="471" t="str">
        <x:f t="shared" ref="AH10:AH24" si="19">IF($Y10="도비",IF($AO10="지방채",IF($P10&lt;&gt;"",$P10,0),""),"")</x:f>
        <x:v/>
      </x:c>
      <x:c r="AI10" s="471" t="str">
        <x:f t="shared" ref="AI10:AI24" si="20">IF($Y10="도비",IF($AO10="지역개발기금",IF($P10&lt;&gt;"",$P10,0),""),"")</x:f>
        <x:v/>
      </x:c>
      <x:c r="AJ10" s="87"/>
      <x:c r="AK10" s="374" t="str">
        <x:f>IF($AQ10="","",IF(OR($AL10="",$AL10="도비"),"",CONCATENATE($AQ10,"-",COUNTIF($AQ$8:$AQ10,$AQ10))))</x:f>
        <x:v/>
      </x:c>
      <x:c r="AL10" s="374" t="str">
        <x:f t="shared" ref="AL10:AL24" si="21">IF($H10="","",IF($H10="511-01","국비",IF($H10="511-02","균특",IF($H10="511-03","기금",IF($H10="311-02","특교",IF($H10="311-04","소교",IF($H10="321-01","소멸","도비")))))))</x:f>
        <x:v/>
      </x:c>
      <x:c r="AM10" s="87"/>
      <x:c r="AN10" s="375" t="str">
        <x:f>IF($AQ10="","",IF(OR($AO10="",$AO10="국비",$AO10="자체"),"",CONCATENATE($AQ10,"-",$AO10,"-",COUNTIF($AQ$8:$AQ10,$AQ10))))</x:f>
        <x:v/>
      </x:c>
      <x:c r="AO10" s="375" t="str">
        <x:f t="shared" ref="AO10:AO24" si="22">IF($Y10="","",IF($Y10="국비","국비",IF($H10="612-01","지방채",IF($H10="722-02","지역개발기금","자체"))))</x:f>
        <x:v/>
      </x:c>
      <x:c r="AP10" s="87"/>
      <x:c r="AQ10" s="374" t="str">
        <x:f t="array" ref="AQ10:AQ10">IF(OR($D10="",$C10="직접입력",$B10="직접입력"),"",INDEX(구분표!$I$2:$I$337,MATCH(1,(구분표!$G$2:$G$337='3. 일입'!$B10)*(구분표!$E$2:$E$337='3. 일입'!$C10)*(구분표!$F$2:$F$337='3. 일입'!$D10),0)))</x:f>
        <x:v/>
      </x:c>
      <x:c r="AR10" s="87"/>
      <x:c r="AS10" s="472" t="str">
        <x:f>IF($AK10="","",SUMIFS('3. 일출(의존)'!$AB$7:$AB$1989,'3. 일출(의존)'!$AN$7:$AN$1989,$AK10))</x:f>
        <x:v/>
      </x:c>
      <x:c r="AT10" s="377" t="str">
        <x:f>IF($AK10="","",COUNTIF('3. 일출(의존)'!$AN$7:$AN$1989,$AK10))</x:f>
        <x:v/>
      </x:c>
      <x:c r="AU10" s="374" t="str">
        <x:f t="shared" ref="AU10:AU24" si="23">IF($AK10="","",IF($AA10=$AS10,"OK","@@"))</x:f>
        <x:v/>
      </x:c>
      <x:c r="AV10" s="472" t="str">
        <x:f>IF($AN10="","",IF($AO10="지역개발기금",SUMIFS('3. 일출(의존)'!$AE$8:$AE$2000,'3. 일출(의존)'!$AS$8:$AS$2000,$AN10)+SUMIFS('3. 일출(자체)'!$AE$8:$AE$2000,'3. 일출(자체)'!$AM$8:$AM$2000,$AN10),IF($AO10="지방채",SUMIFS('3. 일출(의존)'!$AD$8:$AD$2000,'3. 일출(의존)'!$AS$8:$AS$2000,$AN10)+SUMIFS('3. 일출(자체)'!$AD$8:$AD$2000,'3. 일출(자체)'!$AM$8:$AM$2000,$AN10),0)))</x:f>
        <x:v/>
      </x:c>
      <x:c r="AW10" s="377" t="str">
        <x:f>IF($AN10="","",COUNTIF('3. 일출(의존)'!$AS$8:$AS$2000,$AN10)+COUNTIF('3. 일출(자체)'!$AM$8:$AM$2000,$AN10))</x:f>
        <x:v/>
      </x:c>
      <x:c r="AX10" s="374" t="str">
        <x:f t="shared" ref="AX10:AX24" si="24">IF($AN10="","",IF($AO10="자체","",IF($AO10="지방채",IF($AC10=$AV10,"OK","@@"),IF($AO10="지역개발기금",IF($AD10=$AV10,"OK","@@"),"@@"))))</x:f>
        <x:v/>
      </x:c>
      <x:c r="AY10" s="91"/>
      <x:c r="AZ10" s="472" t="str">
        <x:f>IF($AK10="","",SUMIFS('3. 일출(의존)'!$AH$8:$AH$1989,'3. 일출(의존)'!$AN$8:$AN$1989,$AK10))</x:f>
        <x:v/>
      </x:c>
      <x:c r="BA10" s="377" t="str">
        <x:f>IF($AK10="","",COUNTIF('3. 일출(의존)'!$AN$7:$AN$1989,$AK10))</x:f>
        <x:v/>
      </x:c>
      <x:c r="BB10" s="374" t="str">
        <x:f t="shared" ref="BB10:BB24" si="25">IF($AK10="","",IF($AF10=$AZ10,"OK","@@"))</x:f>
        <x:v/>
      </x:c>
      <x:c r="BC10" s="472" t="str">
        <x:f>IF($AN10="","",IF($AO10="지역개발기금",SUMIFS('3. 일출(의존)'!$AK$8:$AK$2000,'3. 일출(의존)'!$AS$8:$AS$2000,$AN10)+SUMIFS('3. 일출(자체)'!$AJ$8:$AJ$2000,'3. 일출(자체)'!$AM$8:$AM$2000,$AN10),IF($AO10="지방채",SUMIFS('3. 일출(의존)'!$AJ$8:$AJ$2000,'3. 일출(의존)'!$AS$8:$AS$2000,$AN10)+SUMIFS('3. 일출(자체)'!$AI$8:$AI$2000,'3. 일출(자체)'!$AM$8:$AM$2000,$AN10),0)))</x:f>
        <x:v/>
      </x:c>
      <x:c r="BD10" s="377" t="str">
        <x:f>IF($AN10="","",COUNTIF('3. 일출(의존)'!$AS$8:$AS$2000,$AN10)+COUNTIF('3. 일출(자체)'!$AM$8:$AM$2000,$AN10))</x:f>
        <x:v/>
      </x:c>
      <x:c r="BE10" s="374" t="str">
        <x:f t="shared" ref="BE10:BE24" si="26">IF($AN10="","",IF($AO10="자체","",IF($AO10="지방채",IF($AH10=$BC10,"OK","@@"),IF($AO10="지역개발기금",IF($AI10=$BC10,"OK","@@"),"@@"))))</x:f>
        <x:v/>
      </x:c>
    </x:row>
    <x:row r="11" spans="1:57" s="20" customFormat="1" ht="80.099999999999994" customHeight="1">
      <x:c r="A11" s="155" t="str">
        <x:f>IF(D11="","",COUNTA($C$8:C11)-COUNTBLANK($C$8:C11)+1)</x:f>
        <x:v/>
      </x:c>
      <x:c r="B11" s="156" t="str">
        <x: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x:f>
        <x:v/>
      </x:c>
      <x:c r="C11" s="156" t="str">
        <x:f>IF(D11="","",IF(OR(D11="교육지원과",D11="총무과",D11="인사과"),"직접입력",VLOOKUP(D11,구분표!$A$3:$C$258,3,)))</x:f>
        <x:v/>
      </x:c>
      <x:c r="D11" s="219"/>
      <x:c r="E11" s="213"/>
      <x:c r="F11" s="388" t="str">
        <x:f t="shared" si="5"/>
        <x:v/>
      </x:c>
      <x:c r="G11" s="388" t="str">
        <x:f t="shared" si="5"/>
        <x:v/>
      </x:c>
      <x:c r="H11" s="213"/>
      <x:c r="I11" s="156" t="str">
        <x:f>IF(H11="","",VLOOKUP($H11,구분표!$O$3:$P$168,2,FALSE))</x:f>
        <x:v/>
      </x:c>
      <x:c r="J11" s="215"/>
      <x:c r="K11" s="459" t="str">
        <x:f t="shared" si="6"/>
        <x:v/>
      </x:c>
      <x:c r="L11" s="459" t="str">
        <x:f t="shared" si="7"/>
        <x:v/>
      </x:c>
      <x:c r="M11" s="461" t="str">
        <x:f t="shared" si="8"/>
        <x:v/>
      </x:c>
      <x:c r="N11" s="460"/>
      <x:c r="O11" s="461">
        <x:f t="shared" si="9"/>
        <x:v>0</x:v>
      </x:c>
      <x:c r="P11" s="462"/>
      <x:c r="Q11" s="463">
        <x:f t="shared" si="10"/>
        <x:v>0</x:v>
      </x:c>
      <x:c r="R11" s="162" t="str">
        <x:f t="shared" si="11"/>
        <x:v>X</x:v>
      </x:c>
      <x:c r="S11" s="216"/>
      <x:c r="T11" s="327"/>
      <x:c r="U11" s="217"/>
      <x:c r="V11" s="203"/>
      <x:c r="W11" s="217"/>
      <x:c r="X11" s="217"/>
      <x:c r="Y11" s="162" t="str">
        <x:f t="shared" si="12"/>
        <x:v/>
      </x:c>
      <x:c r="Z11" s="45"/>
      <x:c r="AA11" s="471" t="str">
        <x:f t="shared" si="13"/>
        <x:v/>
      </x:c>
      <x:c r="AB11" s="471" t="str">
        <x:f t="shared" si="14"/>
        <x:v/>
      </x:c>
      <x:c r="AC11" s="471" t="str">
        <x:f t="shared" si="15"/>
        <x:v/>
      </x:c>
      <x:c r="AD11" s="471" t="str">
        <x:f t="shared" si="16"/>
        <x:v/>
      </x:c>
      <x:c r="AE11" s="46"/>
      <x:c r="AF11" s="471" t="str">
        <x:f t="shared" si="17"/>
        <x:v/>
      </x:c>
      <x:c r="AG11" s="471" t="str">
        <x:f t="shared" si="18"/>
        <x:v/>
      </x:c>
      <x:c r="AH11" s="471" t="str">
        <x:f t="shared" si="19"/>
        <x:v/>
      </x:c>
      <x:c r="AI11" s="471" t="str">
        <x:f t="shared" si="20"/>
        <x:v/>
      </x:c>
      <x:c r="AJ11" s="87"/>
      <x:c r="AK11" s="374" t="str">
        <x:f>IF($AQ11="","",IF(OR($AL11="",$AL11="도비"),"",CONCATENATE($AQ11,"-",COUNTIF($AQ$8:$AQ11,$AQ11))))</x:f>
        <x:v/>
      </x:c>
      <x:c r="AL11" s="374" t="str">
        <x:f t="shared" si="21"/>
        <x:v/>
      </x:c>
      <x:c r="AM11" s="87"/>
      <x:c r="AN11" s="375" t="str">
        <x:f>IF($AQ11="","",IF(OR($AO11="",$AO11="국비",$AO11="자체"),"",CONCATENATE($AQ11,"-",$AO11,"-",COUNTIF($AQ$8:$AQ11,$AQ11))))</x:f>
        <x:v/>
      </x:c>
      <x:c r="AO11" s="375" t="str">
        <x:f t="shared" si="22"/>
        <x:v/>
      </x:c>
      <x:c r="AP11" s="87"/>
      <x:c r="AQ11" s="374" t="str">
        <x:f t="array" ref="AQ11:AQ11">IF(OR($D11="",$C11="직접입력",$B11="직접입력"),"",INDEX(구분표!$I$2:$I$337,MATCH(1,(구분표!$G$2:$G$337='3. 일입'!$B11)*(구분표!$E$2:$E$337='3. 일입'!$C11)*(구분표!$F$2:$F$337='3. 일입'!$D11),0)))</x:f>
        <x:v/>
      </x:c>
      <x:c r="AR11" s="87"/>
      <x:c r="AS11" s="472" t="str">
        <x:f>IF($AK11="","",SUMIFS('3. 일출(의존)'!$AB$7:$AB$1989,'3. 일출(의존)'!$AN$7:$AN$1989,$AK11))</x:f>
        <x:v/>
      </x:c>
      <x:c r="AT11" s="377" t="str">
        <x:f>IF($AK11="","",COUNTIF('3. 일출(의존)'!$AN$7:$AN$1989,$AK11))</x:f>
        <x:v/>
      </x:c>
      <x:c r="AU11" s="374" t="str">
        <x:f t="shared" si="23"/>
        <x:v/>
      </x:c>
      <x:c r="AV11" s="472" t="str">
        <x:f>IF($AN11="","",IF($AO11="지역개발기금",SUMIFS('3. 일출(의존)'!$AE$8:$AE$2000,'3. 일출(의존)'!$AS$8:$AS$2000,$AN11)+SUMIFS('3. 일출(자체)'!$AE$8:$AE$2000,'3. 일출(자체)'!$AM$8:$AM$2000,$AN11),IF($AO11="지방채",SUMIFS('3. 일출(의존)'!$AD$8:$AD$2000,'3. 일출(의존)'!$AS$8:$AS$2000,$AN11)+SUMIFS('3. 일출(자체)'!$AD$8:$AD$2000,'3. 일출(자체)'!$AM$8:$AM$2000,$AN11),0)))</x:f>
        <x:v/>
      </x:c>
      <x:c r="AW11" s="377" t="str">
        <x:f>IF($AN11="","",COUNTIF('3. 일출(의존)'!$AS$8:$AS$2000,$AN11)+COUNTIF('3. 일출(자체)'!$AM$8:$AM$2000,$AN11))</x:f>
        <x:v/>
      </x:c>
      <x:c r="AX11" s="374" t="str">
        <x:f t="shared" si="24"/>
        <x:v/>
      </x:c>
      <x:c r="AY11" s="91"/>
      <x:c r="AZ11" s="472" t="str">
        <x:f>IF($AK11="","",SUMIFS('3. 일출(의존)'!$AH$8:$AH$1989,'3. 일출(의존)'!$AN$8:$AN$1989,$AK11))</x:f>
        <x:v/>
      </x:c>
      <x:c r="BA11" s="377" t="str">
        <x:f>IF($AK11="","",COUNTIF('3. 일출(의존)'!$AN$7:$AN$1989,$AK11))</x:f>
        <x:v/>
      </x:c>
      <x:c r="BB11" s="374" t="str">
        <x:f t="shared" si="25"/>
        <x:v/>
      </x:c>
      <x:c r="BC11" s="472" t="str">
        <x:f>IF($AN11="","",IF($AO11="지역개발기금",SUMIFS('3. 일출(의존)'!$AK$8:$AK$2000,'3. 일출(의존)'!$AS$8:$AS$2000,$AN11)+SUMIFS('3. 일출(자체)'!$AJ$8:$AJ$2000,'3. 일출(자체)'!$AM$8:$AM$2000,$AN11),IF($AO11="지방채",SUMIFS('3. 일출(의존)'!$AJ$8:$AJ$2000,'3. 일출(의존)'!$AS$8:$AS$2000,$AN11)+SUMIFS('3. 일출(자체)'!$AI$8:$AI$2000,'3. 일출(자체)'!$AM$8:$AM$2000,$AN11),0)))</x:f>
        <x:v/>
      </x:c>
      <x:c r="BD11" s="377" t="str">
        <x:f>IF($AN11="","",COUNTIF('3. 일출(의존)'!$AS$8:$AS$2000,$AN11)+COUNTIF('3. 일출(자체)'!$AM$8:$AM$2000,$AN11))</x:f>
        <x:v/>
      </x:c>
      <x:c r="BE11" s="374" t="str">
        <x:f t="shared" si="26"/>
        <x:v/>
      </x:c>
    </x:row>
    <x:row r="12" spans="1:57" s="20" customFormat="1" ht="80.099999999999994" customHeight="1">
      <x:c r="A12" s="155" t="str">
        <x:f>IF(D12="","",COUNTA($C$8:C12)-COUNTBLANK($C$8:C12)+1)</x:f>
        <x:v/>
      </x:c>
      <x:c r="B12" s="156" t="str">
        <x: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x:f>
        <x:v/>
      </x:c>
      <x:c r="C12" s="156" t="str">
        <x:f>IF(D12="","",IF(OR(D12="교육지원과",D12="총무과",D12="인사과"),"직접입력",VLOOKUP(D12,구분표!$A$3:$C$258,3,)))</x:f>
        <x:v/>
      </x:c>
      <x:c r="D12" s="219"/>
      <x:c r="E12" s="213"/>
      <x:c r="F12" s="388" t="str">
        <x:f t="shared" si="5"/>
        <x:v/>
      </x:c>
      <x:c r="G12" s="388" t="str">
        <x:f t="shared" si="5"/>
        <x:v/>
      </x:c>
      <x:c r="H12" s="213"/>
      <x:c r="I12" s="156" t="str">
        <x:f>IF(H12="","",VLOOKUP($H12,구분표!$O$3:$P$168,2,FALSE))</x:f>
        <x:v/>
      </x:c>
      <x:c r="J12" s="215"/>
      <x:c r="K12" s="459" t="str">
        <x:f t="shared" si="6"/>
        <x:v/>
      </x:c>
      <x:c r="L12" s="459" t="str">
        <x:f t="shared" si="7"/>
        <x:v/>
      </x:c>
      <x:c r="M12" s="461" t="str">
        <x:f t="shared" si="8"/>
        <x:v/>
      </x:c>
      <x:c r="N12" s="460"/>
      <x:c r="O12" s="461">
        <x:f t="shared" si="9"/>
        <x:v>0</x:v>
      </x:c>
      <x:c r="P12" s="462"/>
      <x:c r="Q12" s="463">
        <x:f t="shared" si="10"/>
        <x:v>0</x:v>
      </x:c>
      <x:c r="R12" s="162" t="str">
        <x:f t="shared" si="11"/>
        <x:v>X</x:v>
      </x:c>
      <x:c r="S12" s="216"/>
      <x:c r="T12" s="327"/>
      <x:c r="U12" s="217"/>
      <x:c r="V12" s="203"/>
      <x:c r="W12" s="217"/>
      <x:c r="X12" s="217"/>
      <x:c r="Y12" s="162" t="str">
        <x:f t="shared" si="12"/>
        <x:v/>
      </x:c>
      <x:c r="Z12" s="45"/>
      <x:c r="AA12" s="471" t="str">
        <x:f t="shared" si="13"/>
        <x:v/>
      </x:c>
      <x:c r="AB12" s="471" t="str">
        <x:f t="shared" si="14"/>
        <x:v/>
      </x:c>
      <x:c r="AC12" s="471" t="str">
        <x:f t="shared" si="15"/>
        <x:v/>
      </x:c>
      <x:c r="AD12" s="471" t="str">
        <x:f t="shared" si="16"/>
        <x:v/>
      </x:c>
      <x:c r="AE12" s="46"/>
      <x:c r="AF12" s="471" t="str">
        <x:f t="shared" si="17"/>
        <x:v/>
      </x:c>
      <x:c r="AG12" s="471" t="str">
        <x:f t="shared" si="18"/>
        <x:v/>
      </x:c>
      <x:c r="AH12" s="471" t="str">
        <x:f t="shared" si="19"/>
        <x:v/>
      </x:c>
      <x:c r="AI12" s="471" t="str">
        <x:f t="shared" si="20"/>
        <x:v/>
      </x:c>
      <x:c r="AJ12" s="87"/>
      <x:c r="AK12" s="374" t="str">
        <x:f>IF($AQ12="","",IF(OR($AL12="",$AL12="도비"),"",CONCATENATE($AQ12,"-",COUNTIF($AQ$8:$AQ12,$AQ12))))</x:f>
        <x:v/>
      </x:c>
      <x:c r="AL12" s="374" t="str">
        <x:f t="shared" si="21"/>
        <x:v/>
      </x:c>
      <x:c r="AM12" s="87"/>
      <x:c r="AN12" s="375" t="str">
        <x:f>IF($AQ12="","",IF(OR($AO12="",$AO12="국비",$AO12="자체"),"",CONCATENATE($AQ12,"-",$AO12,"-",COUNTIF($AQ$8:$AQ12,$AQ12))))</x:f>
        <x:v/>
      </x:c>
      <x:c r="AO12" s="375" t="str">
        <x:f t="shared" si="22"/>
        <x:v/>
      </x:c>
      <x:c r="AP12" s="87"/>
      <x:c r="AQ12" s="374" t="str">
        <x:f t="array" ref="AQ12:AQ12">IF(OR($D12="",$C12="직접입력",$B12="직접입력"),"",INDEX(구분표!$I$2:$I$337,MATCH(1,(구분표!$G$2:$G$337='3. 일입'!$B12)*(구분표!$E$2:$E$337='3. 일입'!$C12)*(구분표!$F$2:$F$337='3. 일입'!$D12),0)))</x:f>
        <x:v/>
      </x:c>
      <x:c r="AR12" s="87"/>
      <x:c r="AS12" s="472" t="str">
        <x:f>IF($AK12="","",SUMIFS('3. 일출(의존)'!$AB$7:$AB$1989,'3. 일출(의존)'!$AN$7:$AN$1989,$AK12))</x:f>
        <x:v/>
      </x:c>
      <x:c r="AT12" s="377" t="str">
        <x:f>IF($AK12="","",COUNTIF('3. 일출(의존)'!$AN$7:$AN$1989,$AK12))</x:f>
        <x:v/>
      </x:c>
      <x:c r="AU12" s="374" t="str">
        <x:f t="shared" si="23"/>
        <x:v/>
      </x:c>
      <x:c r="AV12" s="472" t="str">
        <x:f>IF($AN12="","",IF($AO12="지역개발기금",SUMIFS('3. 일출(의존)'!$AE$8:$AE$2000,'3. 일출(의존)'!$AS$8:$AS$2000,$AN12)+SUMIFS('3. 일출(자체)'!$AE$8:$AE$2000,'3. 일출(자체)'!$AM$8:$AM$2000,$AN12),IF($AO12="지방채",SUMIFS('3. 일출(의존)'!$AD$8:$AD$2000,'3. 일출(의존)'!$AS$8:$AS$2000,$AN12)+SUMIFS('3. 일출(자체)'!$AD$8:$AD$2000,'3. 일출(자체)'!$AM$8:$AM$2000,$AN12),0)))</x:f>
        <x:v/>
      </x:c>
      <x:c r="AW12" s="377" t="str">
        <x:f>IF($AN12="","",COUNTIF('3. 일출(의존)'!$AS$8:$AS$2000,$AN12)+COUNTIF('3. 일출(자체)'!$AM$8:$AM$2000,$AN12))</x:f>
        <x:v/>
      </x:c>
      <x:c r="AX12" s="374" t="str">
        <x:f t="shared" si="24"/>
        <x:v/>
      </x:c>
      <x:c r="AY12" s="91"/>
      <x:c r="AZ12" s="472" t="str">
        <x:f>IF($AK12="","",SUMIFS('3. 일출(의존)'!$AH$8:$AH$1989,'3. 일출(의존)'!$AN$8:$AN$1989,$AK12))</x:f>
        <x:v/>
      </x:c>
      <x:c r="BA12" s="377" t="str">
        <x:f>IF($AK12="","",COUNTIF('3. 일출(의존)'!$AN$7:$AN$1989,$AK12))</x:f>
        <x:v/>
      </x:c>
      <x:c r="BB12" s="374" t="str">
        <x:f t="shared" si="25"/>
        <x:v/>
      </x:c>
      <x:c r="BC12" s="472" t="str">
        <x:f>IF($AN12="","",IF($AO12="지역개발기금",SUMIFS('3. 일출(의존)'!$AK$8:$AK$2000,'3. 일출(의존)'!$AS$8:$AS$2000,$AN12)+SUMIFS('3. 일출(자체)'!$AJ$8:$AJ$2000,'3. 일출(자체)'!$AM$8:$AM$2000,$AN12),IF($AO12="지방채",SUMIFS('3. 일출(의존)'!$AJ$8:$AJ$2000,'3. 일출(의존)'!$AS$8:$AS$2000,$AN12)+SUMIFS('3. 일출(자체)'!$AI$8:$AI$2000,'3. 일출(자체)'!$AM$8:$AM$2000,$AN12),0)))</x:f>
        <x:v/>
      </x:c>
      <x:c r="BD12" s="377" t="str">
        <x:f>IF($AN12="","",COUNTIF('3. 일출(의존)'!$AS$8:$AS$2000,$AN12)+COUNTIF('3. 일출(자체)'!$AM$8:$AM$2000,$AN12))</x:f>
        <x:v/>
      </x:c>
      <x:c r="BE12" s="374" t="str">
        <x:f t="shared" si="26"/>
        <x:v/>
      </x:c>
    </x:row>
    <x:row r="13" spans="1:57" s="20" customFormat="1" ht="80.099999999999994" customHeight="1">
      <x:c r="A13" s="155" t="str">
        <x:f>IF(D13="","",COUNTA($C$8:C13)-COUNTBLANK($C$8:C13)+1)</x:f>
        <x:v/>
      </x:c>
      <x:c r="B13" s="156" t="str">
        <x: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x:f>
        <x:v/>
      </x:c>
      <x:c r="C13" s="156" t="str">
        <x:f>IF(D13="","",IF(OR(D13="교육지원과",D13="총무과",D13="인사과"),"직접입력",VLOOKUP(D13,구분표!$A$3:$C$258,3,)))</x:f>
        <x:v/>
      </x:c>
      <x:c r="D13" s="219"/>
      <x:c r="E13" s="213"/>
      <x:c r="F13" s="388" t="str">
        <x:f t="shared" si="5"/>
        <x:v/>
      </x:c>
      <x:c r="G13" s="388" t="str">
        <x:f t="shared" si="5"/>
        <x:v/>
      </x:c>
      <x:c r="H13" s="213"/>
      <x:c r="I13" s="156" t="str">
        <x:f>IF(H13="","",VLOOKUP($H13,구분표!$O$3:$P$168,2,FALSE))</x:f>
        <x:v/>
      </x:c>
      <x:c r="J13" s="215"/>
      <x:c r="K13" s="459" t="str">
        <x:f t="shared" si="6"/>
        <x:v/>
      </x:c>
      <x:c r="L13" s="459" t="str">
        <x:f t="shared" si="7"/>
        <x:v/>
      </x:c>
      <x:c r="M13" s="461" t="str">
        <x:f t="shared" si="8"/>
        <x:v/>
      </x:c>
      <x:c r="N13" s="460"/>
      <x:c r="O13" s="461">
        <x:f t="shared" si="9"/>
        <x:v>0</x:v>
      </x:c>
      <x:c r="P13" s="462"/>
      <x:c r="Q13" s="463">
        <x:f t="shared" si="10"/>
        <x:v>0</x:v>
      </x:c>
      <x:c r="R13" s="162" t="str">
        <x:f t="shared" si="11"/>
        <x:v>X</x:v>
      </x:c>
      <x:c r="S13" s="216"/>
      <x:c r="T13" s="327"/>
      <x:c r="U13" s="217"/>
      <x:c r="V13" s="203"/>
      <x:c r="W13" s="217"/>
      <x:c r="X13" s="217"/>
      <x:c r="Y13" s="162" t="str">
        <x:f t="shared" si="12"/>
        <x:v/>
      </x:c>
      <x:c r="Z13" s="45"/>
      <x:c r="AA13" s="471" t="str">
        <x:f t="shared" si="13"/>
        <x:v/>
      </x:c>
      <x:c r="AB13" s="471" t="str">
        <x:f t="shared" si="14"/>
        <x:v/>
      </x:c>
      <x:c r="AC13" s="471" t="str">
        <x:f t="shared" si="15"/>
        <x:v/>
      </x:c>
      <x:c r="AD13" s="471" t="str">
        <x:f t="shared" si="16"/>
        <x:v/>
      </x:c>
      <x:c r="AE13" s="46"/>
      <x:c r="AF13" s="471" t="str">
        <x:f t="shared" si="17"/>
        <x:v/>
      </x:c>
      <x:c r="AG13" s="471" t="str">
        <x:f t="shared" si="18"/>
        <x:v/>
      </x:c>
      <x:c r="AH13" s="471" t="str">
        <x:f t="shared" si="19"/>
        <x:v/>
      </x:c>
      <x:c r="AI13" s="471" t="str">
        <x:f t="shared" si="20"/>
        <x:v/>
      </x:c>
      <x:c r="AJ13" s="87"/>
      <x:c r="AK13" s="374" t="str">
        <x:f>IF($AQ13="","",IF(OR($AL13="",$AL13="도비"),"",CONCATENATE($AQ13,"-",COUNTIF($AQ$8:$AQ13,$AQ13))))</x:f>
        <x:v/>
      </x:c>
      <x:c r="AL13" s="374" t="str">
        <x:f t="shared" si="21"/>
        <x:v/>
      </x:c>
      <x:c r="AM13" s="87"/>
      <x:c r="AN13" s="375" t="str">
        <x:f>IF($AQ13="","",IF(OR($AO13="",$AO13="국비",$AO13="자체"),"",CONCATENATE($AQ13,"-",$AO13,"-",COUNTIF($AQ$8:$AQ13,$AQ13))))</x:f>
        <x:v/>
      </x:c>
      <x:c r="AO13" s="375" t="str">
        <x:f t="shared" si="22"/>
        <x:v/>
      </x:c>
      <x:c r="AP13" s="87"/>
      <x:c r="AQ13" s="374" t="str">
        <x:f t="array" ref="AQ13:AQ13">IF(OR($D13="",$C13="직접입력",$B13="직접입력"),"",INDEX(구분표!$I$2:$I$337,MATCH(1,(구분표!$G$2:$G$337='3. 일입'!$B13)*(구분표!$E$2:$E$337='3. 일입'!$C13)*(구분표!$F$2:$F$337='3. 일입'!$D13),0)))</x:f>
        <x:v/>
      </x:c>
      <x:c r="AR13" s="87"/>
      <x:c r="AS13" s="472" t="str">
        <x:f>IF($AK13="","",SUMIFS('3. 일출(의존)'!$AB$7:$AB$1989,'3. 일출(의존)'!$AN$7:$AN$1989,$AK13))</x:f>
        <x:v/>
      </x:c>
      <x:c r="AT13" s="377" t="str">
        <x:f>IF($AK13="","",COUNTIF('3. 일출(의존)'!$AN$7:$AN$1989,$AK13))</x:f>
        <x:v/>
      </x:c>
      <x:c r="AU13" s="374" t="str">
        <x:f t="shared" si="23"/>
        <x:v/>
      </x:c>
      <x:c r="AV13" s="472" t="str">
        <x:f>IF($AN13="","",IF($AO13="지역개발기금",SUMIFS('3. 일출(의존)'!$AE$8:$AE$2000,'3. 일출(의존)'!$AS$8:$AS$2000,$AN13)+SUMIFS('3. 일출(자체)'!$AE$8:$AE$2000,'3. 일출(자체)'!$AM$8:$AM$2000,$AN13),IF($AO13="지방채",SUMIFS('3. 일출(의존)'!$AD$8:$AD$2000,'3. 일출(의존)'!$AS$8:$AS$2000,$AN13)+SUMIFS('3. 일출(자체)'!$AD$8:$AD$2000,'3. 일출(자체)'!$AM$8:$AM$2000,$AN13),0)))</x:f>
        <x:v/>
      </x:c>
      <x:c r="AW13" s="377" t="str">
        <x:f>IF($AN13="","",COUNTIF('3. 일출(의존)'!$AS$8:$AS$2000,$AN13)+COUNTIF('3. 일출(자체)'!$AM$8:$AM$2000,$AN13))</x:f>
        <x:v/>
      </x:c>
      <x:c r="AX13" s="374" t="str">
        <x:f t="shared" si="24"/>
        <x:v/>
      </x:c>
      <x:c r="AY13" s="91"/>
      <x:c r="AZ13" s="472" t="str">
        <x:f>IF($AK13="","",SUMIFS('3. 일출(의존)'!$AH$8:$AH$1989,'3. 일출(의존)'!$AN$8:$AN$1989,$AK13))</x:f>
        <x:v/>
      </x:c>
      <x:c r="BA13" s="377" t="str">
        <x:f>IF($AK13="","",COUNTIF('3. 일출(의존)'!$AN$7:$AN$1989,$AK13))</x:f>
        <x:v/>
      </x:c>
      <x:c r="BB13" s="374" t="str">
        <x:f t="shared" si="25"/>
        <x:v/>
      </x:c>
      <x:c r="BC13" s="472" t="str">
        <x:f>IF($AN13="","",IF($AO13="지역개발기금",SUMIFS('3. 일출(의존)'!$AK$8:$AK$2000,'3. 일출(의존)'!$AS$8:$AS$2000,$AN13)+SUMIFS('3. 일출(자체)'!$AJ$8:$AJ$2000,'3. 일출(자체)'!$AM$8:$AM$2000,$AN13),IF($AO13="지방채",SUMIFS('3. 일출(의존)'!$AJ$8:$AJ$2000,'3. 일출(의존)'!$AS$8:$AS$2000,$AN13)+SUMIFS('3. 일출(자체)'!$AI$8:$AI$2000,'3. 일출(자체)'!$AM$8:$AM$2000,$AN13),0)))</x:f>
        <x:v/>
      </x:c>
      <x:c r="BD13" s="377" t="str">
        <x:f>IF($AN13="","",COUNTIF('3. 일출(의존)'!$AS$8:$AS$2000,$AN13)+COUNTIF('3. 일출(자체)'!$AM$8:$AM$2000,$AN13))</x:f>
        <x:v/>
      </x:c>
      <x:c r="BE13" s="374" t="str">
        <x:f t="shared" si="26"/>
        <x:v/>
      </x:c>
    </x:row>
    <x:row r="14" spans="1:57" s="20" customFormat="1" ht="80.099999999999994" customHeight="1">
      <x:c r="A14" s="155" t="str">
        <x:f>IF(D14="","",COUNTA($C$8:C14)-COUNTBLANK($C$8:C14)+1)</x:f>
        <x:v/>
      </x:c>
      <x:c r="B14" s="156" t="str">
        <x: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x:f>
        <x:v/>
      </x:c>
      <x:c r="C14" s="156" t="str">
        <x:f>IF(D14="","",IF(OR(D14="교육지원과",D14="총무과",D14="인사과"),"직접입력",VLOOKUP(D14,구분표!$A$3:$C$258,3,)))</x:f>
        <x:v/>
      </x:c>
      <x:c r="D14" s="219"/>
      <x:c r="E14" s="213"/>
      <x:c r="F14" s="388" t="str">
        <x:f t="shared" si="5"/>
        <x:v/>
      </x:c>
      <x:c r="G14" s="388" t="str">
        <x:f t="shared" si="5"/>
        <x:v/>
      </x:c>
      <x:c r="H14" s="213"/>
      <x:c r="I14" s="156" t="str">
        <x:f>IF(H14="","",VLOOKUP($H14,구분표!$O$3:$P$168,2,FALSE))</x:f>
        <x:v/>
      </x:c>
      <x:c r="J14" s="215"/>
      <x:c r="K14" s="459" t="str">
        <x:f t="shared" si="6"/>
        <x:v/>
      </x:c>
      <x:c r="L14" s="459" t="str">
        <x:f t="shared" si="7"/>
        <x:v/>
      </x:c>
      <x:c r="M14" s="461" t="str">
        <x:f t="shared" si="8"/>
        <x:v/>
      </x:c>
      <x:c r="N14" s="460"/>
      <x:c r="O14" s="461">
        <x:f t="shared" si="9"/>
        <x:v>0</x:v>
      </x:c>
      <x:c r="P14" s="462"/>
      <x:c r="Q14" s="463">
        <x:f t="shared" si="10"/>
        <x:v>0</x:v>
      </x:c>
      <x:c r="R14" s="162" t="str">
        <x:f t="shared" si="11"/>
        <x:v>X</x:v>
      </x:c>
      <x:c r="S14" s="216"/>
      <x:c r="T14" s="327"/>
      <x:c r="U14" s="217"/>
      <x:c r="V14" s="203"/>
      <x:c r="W14" s="217"/>
      <x:c r="X14" s="217"/>
      <x:c r="Y14" s="162" t="str">
        <x:f t="shared" si="12"/>
        <x:v/>
      </x:c>
      <x:c r="Z14" s="45"/>
      <x:c r="AA14" s="471" t="str">
        <x:f t="shared" si="13"/>
        <x:v/>
      </x:c>
      <x:c r="AB14" s="471" t="str">
        <x:f t="shared" si="14"/>
        <x:v/>
      </x:c>
      <x:c r="AC14" s="471" t="str">
        <x:f t="shared" si="15"/>
        <x:v/>
      </x:c>
      <x:c r="AD14" s="471" t="str">
        <x:f t="shared" si="16"/>
        <x:v/>
      </x:c>
      <x:c r="AE14" s="46"/>
      <x:c r="AF14" s="471" t="str">
        <x:f t="shared" si="17"/>
        <x:v/>
      </x:c>
      <x:c r="AG14" s="471" t="str">
        <x:f t="shared" si="18"/>
        <x:v/>
      </x:c>
      <x:c r="AH14" s="471" t="str">
        <x:f t="shared" si="19"/>
        <x:v/>
      </x:c>
      <x:c r="AI14" s="471" t="str">
        <x:f t="shared" si="20"/>
        <x:v/>
      </x:c>
      <x:c r="AJ14" s="87"/>
      <x:c r="AK14" s="374" t="str">
        <x:f>IF($AQ14="","",IF(OR($AL14="",$AL14="도비"),"",CONCATENATE($AQ14,"-",COUNTIF($AQ$8:$AQ14,$AQ14))))</x:f>
        <x:v/>
      </x:c>
      <x:c r="AL14" s="374" t="str">
        <x:f t="shared" si="21"/>
        <x:v/>
      </x:c>
      <x:c r="AM14" s="87"/>
      <x:c r="AN14" s="375" t="str">
        <x:f>IF($AQ14="","",IF(OR($AO14="",$AO14="국비",$AO14="자체"),"",CONCATENATE($AQ14,"-",$AO14,"-",COUNTIF($AQ$8:$AQ14,$AQ14))))</x:f>
        <x:v/>
      </x:c>
      <x:c r="AO14" s="375" t="str">
        <x:f t="shared" si="22"/>
        <x:v/>
      </x:c>
      <x:c r="AP14" s="87"/>
      <x:c r="AQ14" s="374" t="str">
        <x:f t="array" ref="AQ14:AQ14">IF(OR($D14="",$C14="직접입력",$B14="직접입력"),"",INDEX(구분표!$I$2:$I$337,MATCH(1,(구분표!$G$2:$G$337='3. 일입'!$B14)*(구분표!$E$2:$E$337='3. 일입'!$C14)*(구분표!$F$2:$F$337='3. 일입'!$D14),0)))</x:f>
        <x:v/>
      </x:c>
      <x:c r="AR14" s="87"/>
      <x:c r="AS14" s="472" t="str">
        <x:f>IF($AK14="","",SUMIFS('3. 일출(의존)'!$AB$7:$AB$1989,'3. 일출(의존)'!$AN$7:$AN$1989,$AK14))</x:f>
        <x:v/>
      </x:c>
      <x:c r="AT14" s="377" t="str">
        <x:f>IF($AK14="","",COUNTIF('3. 일출(의존)'!$AN$7:$AN$1989,$AK14))</x:f>
        <x:v/>
      </x:c>
      <x:c r="AU14" s="374" t="str">
        <x:f t="shared" si="23"/>
        <x:v/>
      </x:c>
      <x:c r="AV14" s="472" t="str">
        <x:f>IF($AN14="","",IF($AO14="지역개발기금",SUMIFS('3. 일출(의존)'!$AE$8:$AE$2000,'3. 일출(의존)'!$AS$8:$AS$2000,$AN14)+SUMIFS('3. 일출(자체)'!$AE$8:$AE$2000,'3. 일출(자체)'!$AM$8:$AM$2000,$AN14),IF($AO14="지방채",SUMIFS('3. 일출(의존)'!$AD$8:$AD$2000,'3. 일출(의존)'!$AS$8:$AS$2000,$AN14)+SUMIFS('3. 일출(자체)'!$AD$8:$AD$2000,'3. 일출(자체)'!$AM$8:$AM$2000,$AN14),0)))</x:f>
        <x:v/>
      </x:c>
      <x:c r="AW14" s="377" t="str">
        <x:f>IF($AN14="","",COUNTIF('3. 일출(의존)'!$AS$8:$AS$2000,$AN14)+COUNTIF('3. 일출(자체)'!$AM$8:$AM$2000,$AN14))</x:f>
        <x:v/>
      </x:c>
      <x:c r="AX14" s="374" t="str">
        <x:f t="shared" si="24"/>
        <x:v/>
      </x:c>
      <x:c r="AY14" s="91"/>
      <x:c r="AZ14" s="472" t="str">
        <x:f>IF($AK14="","",SUMIFS('3. 일출(의존)'!$AH$8:$AH$1989,'3. 일출(의존)'!$AN$8:$AN$1989,$AK14))</x:f>
        <x:v/>
      </x:c>
      <x:c r="BA14" s="377" t="str">
        <x:f>IF($AK14="","",COUNTIF('3. 일출(의존)'!$AN$7:$AN$1989,$AK14))</x:f>
        <x:v/>
      </x:c>
      <x:c r="BB14" s="374" t="str">
        <x:f t="shared" si="25"/>
        <x:v/>
      </x:c>
      <x:c r="BC14" s="472" t="str">
        <x:f>IF($AN14="","",IF($AO14="지역개발기금",SUMIFS('3. 일출(의존)'!$AK$8:$AK$2000,'3. 일출(의존)'!$AS$8:$AS$2000,$AN14)+SUMIFS('3. 일출(자체)'!$AJ$8:$AJ$2000,'3. 일출(자체)'!$AM$8:$AM$2000,$AN14),IF($AO14="지방채",SUMIFS('3. 일출(의존)'!$AJ$8:$AJ$2000,'3. 일출(의존)'!$AS$8:$AS$2000,$AN14)+SUMIFS('3. 일출(자체)'!$AI$8:$AI$2000,'3. 일출(자체)'!$AM$8:$AM$2000,$AN14),0)))</x:f>
        <x:v/>
      </x:c>
      <x:c r="BD14" s="377" t="str">
        <x:f>IF($AN14="","",COUNTIF('3. 일출(의존)'!$AS$8:$AS$2000,$AN14)+COUNTIF('3. 일출(자체)'!$AM$8:$AM$2000,$AN14))</x:f>
        <x:v/>
      </x:c>
      <x:c r="BE14" s="374" t="str">
        <x:f t="shared" si="26"/>
        <x:v/>
      </x:c>
    </x:row>
    <x:row r="15" spans="1:57" s="20" customFormat="1" ht="80.099999999999994" customHeight="1">
      <x:c r="A15" s="155" t="str">
        <x:f>IF(D15="","",COUNTA($C$8:C15)-COUNTBLANK($C$8:C15)+1)</x:f>
        <x:v/>
      </x:c>
      <x:c r="B15" s="156" t="str">
        <x: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x:f>
        <x:v/>
      </x:c>
      <x:c r="C15" s="156" t="str">
        <x:f>IF(D15="","",IF(OR(D15="교육지원과",D15="총무과",D15="인사과"),"직접입력",VLOOKUP(D15,구분표!$A$3:$C$258,3,)))</x:f>
        <x:v/>
      </x:c>
      <x:c r="D15" s="219"/>
      <x:c r="E15" s="213"/>
      <x:c r="F15" s="388" t="str">
        <x:f t="shared" si="5"/>
        <x:v/>
      </x:c>
      <x:c r="G15" s="388" t="str">
        <x:f t="shared" si="5"/>
        <x:v/>
      </x:c>
      <x:c r="H15" s="213"/>
      <x:c r="I15" s="156" t="str">
        <x:f>IF(H15="","",VLOOKUP($H15,구분표!$O$3:$P$168,2,FALSE))</x:f>
        <x:v/>
      </x:c>
      <x:c r="J15" s="215"/>
      <x:c r="K15" s="459" t="str">
        <x:f t="shared" si="6"/>
        <x:v/>
      </x:c>
      <x:c r="L15" s="459" t="str">
        <x:f t="shared" si="7"/>
        <x:v/>
      </x:c>
      <x:c r="M15" s="461" t="str">
        <x:f t="shared" si="8"/>
        <x:v/>
      </x:c>
      <x:c r="N15" s="460"/>
      <x:c r="O15" s="461">
        <x:f t="shared" si="9"/>
        <x:v>0</x:v>
      </x:c>
      <x:c r="P15" s="462"/>
      <x:c r="Q15" s="463">
        <x:f t="shared" si="10"/>
        <x:v>0</x:v>
      </x:c>
      <x:c r="R15" s="162" t="str">
        <x:f t="shared" si="11"/>
        <x:v>X</x:v>
      </x:c>
      <x:c r="S15" s="216"/>
      <x:c r="T15" s="327"/>
      <x:c r="U15" s="217"/>
      <x:c r="V15" s="203"/>
      <x:c r="W15" s="217"/>
      <x:c r="X15" s="217"/>
      <x:c r="Y15" s="162" t="str">
        <x:f t="shared" si="12"/>
        <x:v/>
      </x:c>
      <x:c r="Z15" s="45"/>
      <x:c r="AA15" s="471" t="str">
        <x:f t="shared" si="13"/>
        <x:v/>
      </x:c>
      <x:c r="AB15" s="471" t="str">
        <x:f t="shared" si="14"/>
        <x:v/>
      </x:c>
      <x:c r="AC15" s="471" t="str">
        <x:f t="shared" si="15"/>
        <x:v/>
      </x:c>
      <x:c r="AD15" s="471" t="str">
        <x:f t="shared" si="16"/>
        <x:v/>
      </x:c>
      <x:c r="AE15" s="46"/>
      <x:c r="AF15" s="471" t="str">
        <x:f t="shared" si="17"/>
        <x:v/>
      </x:c>
      <x:c r="AG15" s="471" t="str">
        <x:f t="shared" si="18"/>
        <x:v/>
      </x:c>
      <x:c r="AH15" s="471" t="str">
        <x:f t="shared" si="19"/>
        <x:v/>
      </x:c>
      <x:c r="AI15" s="471" t="str">
        <x:f t="shared" si="20"/>
        <x:v/>
      </x:c>
      <x:c r="AJ15" s="87"/>
      <x:c r="AK15" s="374" t="str">
        <x:f>IF($AQ15="","",IF(OR($AL15="",$AL15="도비"),"",CONCATENATE($AQ15,"-",COUNTIF($AQ$8:$AQ15,$AQ15))))</x:f>
        <x:v/>
      </x:c>
      <x:c r="AL15" s="374" t="str">
        <x:f t="shared" si="21"/>
        <x:v/>
      </x:c>
      <x:c r="AM15" s="87"/>
      <x:c r="AN15" s="375" t="str">
        <x:f>IF($AQ15="","",IF(OR($AO15="",$AO15="국비",$AO15="자체"),"",CONCATENATE($AQ15,"-",$AO15,"-",COUNTIF($AQ$8:$AQ15,$AQ15))))</x:f>
        <x:v/>
      </x:c>
      <x:c r="AO15" s="375" t="str">
        <x:f t="shared" si="22"/>
        <x:v/>
      </x:c>
      <x:c r="AP15" s="87"/>
      <x:c r="AQ15" s="374" t="str">
        <x:f t="array" ref="AQ15:AQ15">IF(OR($D15="",$C15="직접입력",$B15="직접입력"),"",INDEX(구분표!$I$2:$I$337,MATCH(1,(구분표!$G$2:$G$337='3. 일입'!$B15)*(구분표!$E$2:$E$337='3. 일입'!$C15)*(구분표!$F$2:$F$337='3. 일입'!$D15),0)))</x:f>
        <x:v/>
      </x:c>
      <x:c r="AR15" s="87"/>
      <x:c r="AS15" s="472" t="str">
        <x:f>IF($AK15="","",SUMIFS('3. 일출(의존)'!$AB$7:$AB$1989,'3. 일출(의존)'!$AN$7:$AN$1989,$AK15))</x:f>
        <x:v/>
      </x:c>
      <x:c r="AT15" s="377" t="str">
        <x:f>IF($AK15="","",COUNTIF('3. 일출(의존)'!$AN$7:$AN$1989,$AK15))</x:f>
        <x:v/>
      </x:c>
      <x:c r="AU15" s="374" t="str">
        <x:f t="shared" si="23"/>
        <x:v/>
      </x:c>
      <x:c r="AV15" s="472" t="str">
        <x:f>IF($AN15="","",IF($AO15="지역개발기금",SUMIFS('3. 일출(의존)'!$AE$8:$AE$2000,'3. 일출(의존)'!$AS$8:$AS$2000,$AN15)+SUMIFS('3. 일출(자체)'!$AE$8:$AE$2000,'3. 일출(자체)'!$AM$8:$AM$2000,$AN15),IF($AO15="지방채",SUMIFS('3. 일출(의존)'!$AD$8:$AD$2000,'3. 일출(의존)'!$AS$8:$AS$2000,$AN15)+SUMIFS('3. 일출(자체)'!$AD$8:$AD$2000,'3. 일출(자체)'!$AM$8:$AM$2000,$AN15),0)))</x:f>
        <x:v/>
      </x:c>
      <x:c r="AW15" s="377" t="str">
        <x:f>IF($AN15="","",COUNTIF('3. 일출(의존)'!$AS$8:$AS$2000,$AN15)+COUNTIF('3. 일출(자체)'!$AM$8:$AM$2000,$AN15))</x:f>
        <x:v/>
      </x:c>
      <x:c r="AX15" s="374" t="str">
        <x:f t="shared" si="24"/>
        <x:v/>
      </x:c>
      <x:c r="AY15" s="91"/>
      <x:c r="AZ15" s="472" t="str">
        <x:f>IF($AK15="","",SUMIFS('3. 일출(의존)'!$AH$8:$AH$1989,'3. 일출(의존)'!$AN$8:$AN$1989,$AK15))</x:f>
        <x:v/>
      </x:c>
      <x:c r="BA15" s="377" t="str">
        <x:f>IF($AK15="","",COUNTIF('3. 일출(의존)'!$AN$7:$AN$1989,$AK15))</x:f>
        <x:v/>
      </x:c>
      <x:c r="BB15" s="374" t="str">
        <x:f t="shared" si="25"/>
        <x:v/>
      </x:c>
      <x:c r="BC15" s="472" t="str">
        <x:f>IF($AN15="","",IF($AO15="지역개발기금",SUMIFS('3. 일출(의존)'!$AK$8:$AK$2000,'3. 일출(의존)'!$AS$8:$AS$2000,$AN15)+SUMIFS('3. 일출(자체)'!$AJ$8:$AJ$2000,'3. 일출(자체)'!$AM$8:$AM$2000,$AN15),IF($AO15="지방채",SUMIFS('3. 일출(의존)'!$AJ$8:$AJ$2000,'3. 일출(의존)'!$AS$8:$AS$2000,$AN15)+SUMIFS('3. 일출(자체)'!$AI$8:$AI$2000,'3. 일출(자체)'!$AM$8:$AM$2000,$AN15),0)))</x:f>
        <x:v/>
      </x:c>
      <x:c r="BD15" s="377" t="str">
        <x:f>IF($AN15="","",COUNTIF('3. 일출(의존)'!$AS$8:$AS$2000,$AN15)+COUNTIF('3. 일출(자체)'!$AM$8:$AM$2000,$AN15))</x:f>
        <x:v/>
      </x:c>
      <x:c r="BE15" s="374" t="str">
        <x:f t="shared" si="26"/>
        <x:v/>
      </x:c>
    </x:row>
    <x:row r="16" spans="1:57" s="20" customFormat="1" ht="80.099999999999994" customHeight="1">
      <x:c r="A16" s="155" t="str">
        <x:f>IF(D16="","",COUNTA($C$8:C16)-COUNTBLANK($C$8:C16)+1)</x:f>
        <x:v/>
      </x:c>
      <x:c r="B16" s="156" t="str">
        <x: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x:f>
        <x:v/>
      </x:c>
      <x:c r="C16" s="156" t="str">
        <x:f>IF(D16="","",IF(OR(D16="교육지원과",D16="총무과",D16="인사과"),"직접입력",VLOOKUP(D16,구분표!$A$3:$C$258,3,)))</x:f>
        <x:v/>
      </x:c>
      <x:c r="D16" s="219"/>
      <x:c r="E16" s="213"/>
      <x:c r="F16" s="388" t="str">
        <x:f t="shared" si="5"/>
        <x:v/>
      </x:c>
      <x:c r="G16" s="388" t="str">
        <x:f t="shared" si="5"/>
        <x:v/>
      </x:c>
      <x:c r="H16" s="213"/>
      <x:c r="I16" s="156" t="str">
        <x:f>IF(H16="","",VLOOKUP($H16,구분표!$O$3:$P$168,2,FALSE))</x:f>
        <x:v/>
      </x:c>
      <x:c r="J16" s="215"/>
      <x:c r="K16" s="459" t="str">
        <x:f t="shared" si="6"/>
        <x:v/>
      </x:c>
      <x:c r="L16" s="459" t="str">
        <x:f t="shared" si="7"/>
        <x:v/>
      </x:c>
      <x:c r="M16" s="461" t="str">
        <x:f t="shared" si="8"/>
        <x:v/>
      </x:c>
      <x:c r="N16" s="460"/>
      <x:c r="O16" s="461">
        <x:f t="shared" si="9"/>
        <x:v>0</x:v>
      </x:c>
      <x:c r="P16" s="462"/>
      <x:c r="Q16" s="463">
        <x:f t="shared" si="10"/>
        <x:v>0</x:v>
      </x:c>
      <x:c r="R16" s="162" t="str">
        <x:f t="shared" si="11"/>
        <x:v>X</x:v>
      </x:c>
      <x:c r="S16" s="216"/>
      <x:c r="T16" s="327"/>
      <x:c r="U16" s="217"/>
      <x:c r="V16" s="203"/>
      <x:c r="W16" s="217"/>
      <x:c r="X16" s="217"/>
      <x:c r="Y16" s="162" t="str">
        <x:f t="shared" si="12"/>
        <x:v/>
      </x:c>
      <x:c r="Z16" s="45"/>
      <x:c r="AA16" s="471" t="str">
        <x:f t="shared" si="13"/>
        <x:v/>
      </x:c>
      <x:c r="AB16" s="471" t="str">
        <x:f t="shared" si="14"/>
        <x:v/>
      </x:c>
      <x:c r="AC16" s="471" t="str">
        <x:f t="shared" si="15"/>
        <x:v/>
      </x:c>
      <x:c r="AD16" s="471" t="str">
        <x:f t="shared" si="16"/>
        <x:v/>
      </x:c>
      <x:c r="AE16" s="46"/>
      <x:c r="AF16" s="471" t="str">
        <x:f t="shared" si="17"/>
        <x:v/>
      </x:c>
      <x:c r="AG16" s="471" t="str">
        <x:f t="shared" si="18"/>
        <x:v/>
      </x:c>
      <x:c r="AH16" s="471" t="str">
        <x:f t="shared" si="19"/>
        <x:v/>
      </x:c>
      <x:c r="AI16" s="471" t="str">
        <x:f t="shared" si="20"/>
        <x:v/>
      </x:c>
      <x:c r="AJ16" s="87"/>
      <x:c r="AK16" s="374" t="str">
        <x:f>IF($AQ16="","",IF(OR($AL16="",$AL16="도비"),"",CONCATENATE($AQ16,"-",COUNTIF($AQ$8:$AQ16,$AQ16))))</x:f>
        <x:v/>
      </x:c>
      <x:c r="AL16" s="374" t="str">
        <x:f t="shared" si="21"/>
        <x:v/>
      </x:c>
      <x:c r="AM16" s="87"/>
      <x:c r="AN16" s="375" t="str">
        <x:f>IF($AQ16="","",IF(OR($AO16="",$AO16="국비",$AO16="자체"),"",CONCATENATE($AQ16,"-",$AO16,"-",COUNTIF($AQ$8:$AQ16,$AQ16))))</x:f>
        <x:v/>
      </x:c>
      <x:c r="AO16" s="375" t="str">
        <x:f t="shared" si="22"/>
        <x:v/>
      </x:c>
      <x:c r="AP16" s="87"/>
      <x:c r="AQ16" s="374" t="str">
        <x:f t="array" ref="AQ16:AQ16">IF(OR($D16="",$C16="직접입력",$B16="직접입력"),"",INDEX(구분표!$I$2:$I$337,MATCH(1,(구분표!$G$2:$G$337='3. 일입'!$B16)*(구분표!$E$2:$E$337='3. 일입'!$C16)*(구분표!$F$2:$F$337='3. 일입'!$D16),0)))</x:f>
        <x:v/>
      </x:c>
      <x:c r="AR16" s="87"/>
      <x:c r="AS16" s="472" t="str">
        <x:f>IF($AK16="","",SUMIFS('3. 일출(의존)'!$AB$7:$AB$1989,'3. 일출(의존)'!$AN$7:$AN$1989,$AK16))</x:f>
        <x:v/>
      </x:c>
      <x:c r="AT16" s="377" t="str">
        <x:f>IF($AK16="","",COUNTIF('3. 일출(의존)'!$AN$7:$AN$1989,$AK16))</x:f>
        <x:v/>
      </x:c>
      <x:c r="AU16" s="374" t="str">
        <x:f t="shared" si="23"/>
        <x:v/>
      </x:c>
      <x:c r="AV16" s="472" t="str">
        <x:f>IF($AN16="","",IF($AO16="지역개발기금",SUMIFS('3. 일출(의존)'!$AE$8:$AE$2000,'3. 일출(의존)'!$AS$8:$AS$2000,$AN16)+SUMIFS('3. 일출(자체)'!$AE$8:$AE$2000,'3. 일출(자체)'!$AM$8:$AM$2000,$AN16),IF($AO16="지방채",SUMIFS('3. 일출(의존)'!$AD$8:$AD$2000,'3. 일출(의존)'!$AS$8:$AS$2000,$AN16)+SUMIFS('3. 일출(자체)'!$AD$8:$AD$2000,'3. 일출(자체)'!$AM$8:$AM$2000,$AN16),0)))</x:f>
        <x:v/>
      </x:c>
      <x:c r="AW16" s="377" t="str">
        <x:f>IF($AN16="","",COUNTIF('3. 일출(의존)'!$AS$8:$AS$2000,$AN16)+COUNTIF('3. 일출(자체)'!$AM$8:$AM$2000,$AN16))</x:f>
        <x:v/>
      </x:c>
      <x:c r="AX16" s="374" t="str">
        <x:f t="shared" si="24"/>
        <x:v/>
      </x:c>
      <x:c r="AY16" s="91"/>
      <x:c r="AZ16" s="472" t="str">
        <x:f>IF($AK16="","",SUMIFS('3. 일출(의존)'!$AH$8:$AH$1989,'3. 일출(의존)'!$AN$8:$AN$1989,$AK16))</x:f>
        <x:v/>
      </x:c>
      <x:c r="BA16" s="377" t="str">
        <x:f>IF($AK16="","",COUNTIF('3. 일출(의존)'!$AN$7:$AN$1989,$AK16))</x:f>
        <x:v/>
      </x:c>
      <x:c r="BB16" s="374" t="str">
        <x:f t="shared" si="25"/>
        <x:v/>
      </x:c>
      <x:c r="BC16" s="472" t="str">
        <x:f>IF($AN16="","",IF($AO16="지역개발기금",SUMIFS('3. 일출(의존)'!$AK$8:$AK$2000,'3. 일출(의존)'!$AS$8:$AS$2000,$AN16)+SUMIFS('3. 일출(자체)'!$AJ$8:$AJ$2000,'3. 일출(자체)'!$AM$8:$AM$2000,$AN16),IF($AO16="지방채",SUMIFS('3. 일출(의존)'!$AJ$8:$AJ$2000,'3. 일출(의존)'!$AS$8:$AS$2000,$AN16)+SUMIFS('3. 일출(자체)'!$AI$8:$AI$2000,'3. 일출(자체)'!$AM$8:$AM$2000,$AN16),0)))</x:f>
        <x:v/>
      </x:c>
      <x:c r="BD16" s="377" t="str">
        <x:f>IF($AN16="","",COUNTIF('3. 일출(의존)'!$AS$8:$AS$2000,$AN16)+COUNTIF('3. 일출(자체)'!$AM$8:$AM$2000,$AN16))</x:f>
        <x:v/>
      </x:c>
      <x:c r="BE16" s="374" t="str">
        <x:f t="shared" si="26"/>
        <x:v/>
      </x:c>
    </x:row>
    <x:row r="17" spans="1:57" s="20" customFormat="1" ht="80.099999999999994" customHeight="1">
      <x:c r="A17" s="155" t="str">
        <x:f>IF(D17="","",COUNTA($C$8:C17)-COUNTBLANK($C$8:C17)+1)</x:f>
        <x:v/>
      </x:c>
      <x:c r="B17" s="156" t="str">
        <x: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x:f>
        <x:v/>
      </x:c>
      <x:c r="C17" s="156" t="str">
        <x:f>IF(D17="","",IF(OR(D17="교육지원과",D17="총무과",D17="인사과"),"직접입력",VLOOKUP(D17,구분표!$A$3:$C$258,3,)))</x:f>
        <x:v/>
      </x:c>
      <x:c r="D17" s="219"/>
      <x:c r="E17" s="213"/>
      <x:c r="F17" s="388" t="str">
        <x:f t="shared" si="5"/>
        <x:v/>
      </x:c>
      <x:c r="G17" s="388" t="str">
        <x:f t="shared" si="5"/>
        <x:v/>
      </x:c>
      <x:c r="H17" s="213"/>
      <x:c r="I17" s="156" t="str">
        <x:f>IF(H17="","",VLOOKUP($H17,구분표!$O$3:$P$168,2,FALSE))</x:f>
        <x:v/>
      </x:c>
      <x:c r="J17" s="215"/>
      <x:c r="K17" s="459" t="str">
        <x:f t="shared" si="6"/>
        <x:v/>
      </x:c>
      <x:c r="L17" s="459" t="str">
        <x:f t="shared" si="7"/>
        <x:v/>
      </x:c>
      <x:c r="M17" s="461" t="str">
        <x:f t="shared" si="8"/>
        <x:v/>
      </x:c>
      <x:c r="N17" s="460"/>
      <x:c r="O17" s="461">
        <x:f t="shared" si="9"/>
        <x:v>0</x:v>
      </x:c>
      <x:c r="P17" s="462"/>
      <x:c r="Q17" s="463">
        <x:f t="shared" si="10"/>
        <x:v>0</x:v>
      </x:c>
      <x:c r="R17" s="162" t="str">
        <x:f t="shared" si="11"/>
        <x:v>X</x:v>
      </x:c>
      <x:c r="S17" s="216"/>
      <x:c r="T17" s="327"/>
      <x:c r="U17" s="217"/>
      <x:c r="V17" s="203"/>
      <x:c r="W17" s="217"/>
      <x:c r="X17" s="217"/>
      <x:c r="Y17" s="162" t="str">
        <x:f t="shared" si="12"/>
        <x:v/>
      </x:c>
      <x:c r="Z17" s="45"/>
      <x:c r="AA17" s="471" t="str">
        <x:f t="shared" si="13"/>
        <x:v/>
      </x:c>
      <x:c r="AB17" s="471" t="str">
        <x:f t="shared" si="14"/>
        <x:v/>
      </x:c>
      <x:c r="AC17" s="471" t="str">
        <x:f t="shared" si="15"/>
        <x:v/>
      </x:c>
      <x:c r="AD17" s="471" t="str">
        <x:f t="shared" si="16"/>
        <x:v/>
      </x:c>
      <x:c r="AE17" s="46"/>
      <x:c r="AF17" s="471" t="str">
        <x:f t="shared" si="17"/>
        <x:v/>
      </x:c>
      <x:c r="AG17" s="471" t="str">
        <x:f t="shared" si="18"/>
        <x:v/>
      </x:c>
      <x:c r="AH17" s="471" t="str">
        <x:f t="shared" si="19"/>
        <x:v/>
      </x:c>
      <x:c r="AI17" s="471" t="str">
        <x:f t="shared" si="20"/>
        <x:v/>
      </x:c>
      <x:c r="AJ17" s="87"/>
      <x:c r="AK17" s="374" t="str">
        <x:f>IF($AQ17="","",IF(OR($AL17="",$AL17="도비"),"",CONCATENATE($AQ17,"-",COUNTIF($AQ$8:$AQ17,$AQ17))))</x:f>
        <x:v/>
      </x:c>
      <x:c r="AL17" s="374" t="str">
        <x:f t="shared" si="21"/>
        <x:v/>
      </x:c>
      <x:c r="AM17" s="87"/>
      <x:c r="AN17" s="375" t="str">
        <x:f>IF($AQ17="","",IF(OR($AO17="",$AO17="국비",$AO17="자체"),"",CONCATENATE($AQ17,"-",$AO17,"-",COUNTIF($AQ$8:$AQ17,$AQ17))))</x:f>
        <x:v/>
      </x:c>
      <x:c r="AO17" s="375" t="str">
        <x:f t="shared" si="22"/>
        <x:v/>
      </x:c>
      <x:c r="AP17" s="87"/>
      <x:c r="AQ17" s="374" t="str">
        <x:f t="array" ref="AQ17:AQ17">IF(OR($D17="",$C17="직접입력",$B17="직접입력"),"",INDEX(구분표!$I$2:$I$337,MATCH(1,(구분표!$G$2:$G$337='3. 일입'!$B17)*(구분표!$E$2:$E$337='3. 일입'!$C17)*(구분표!$F$2:$F$337='3. 일입'!$D17),0)))</x:f>
        <x:v/>
      </x:c>
      <x:c r="AR17" s="87"/>
      <x:c r="AS17" s="472" t="str">
        <x:f>IF($AK17="","",SUMIFS('3. 일출(의존)'!$AB$7:$AB$1989,'3. 일출(의존)'!$AN$7:$AN$1989,$AK17))</x:f>
        <x:v/>
      </x:c>
      <x:c r="AT17" s="377" t="str">
        <x:f>IF($AK17="","",COUNTIF('3. 일출(의존)'!$AN$7:$AN$1989,$AK17))</x:f>
        <x:v/>
      </x:c>
      <x:c r="AU17" s="374" t="str">
        <x:f t="shared" si="23"/>
        <x:v/>
      </x:c>
      <x:c r="AV17" s="472" t="str">
        <x:f>IF($AN17="","",IF($AO17="지역개발기금",SUMIFS('3. 일출(의존)'!$AE$8:$AE$2000,'3. 일출(의존)'!$AS$8:$AS$2000,$AN17)+SUMIFS('3. 일출(자체)'!$AE$8:$AE$2000,'3. 일출(자체)'!$AM$8:$AM$2000,$AN17),IF($AO17="지방채",SUMIFS('3. 일출(의존)'!$AD$8:$AD$2000,'3. 일출(의존)'!$AS$8:$AS$2000,$AN17)+SUMIFS('3. 일출(자체)'!$AD$8:$AD$2000,'3. 일출(자체)'!$AM$8:$AM$2000,$AN17),0)))</x:f>
        <x:v/>
      </x:c>
      <x:c r="AW17" s="377" t="str">
        <x:f>IF($AN17="","",COUNTIF('3. 일출(의존)'!$AS$8:$AS$2000,$AN17)+COUNTIF('3. 일출(자체)'!$AM$8:$AM$2000,$AN17))</x:f>
        <x:v/>
      </x:c>
      <x:c r="AX17" s="374" t="str">
        <x:f t="shared" si="24"/>
        <x:v/>
      </x:c>
      <x:c r="AY17" s="91"/>
      <x:c r="AZ17" s="472" t="str">
        <x:f>IF($AK17="","",SUMIFS('3. 일출(의존)'!$AH$8:$AH$1989,'3. 일출(의존)'!$AN$8:$AN$1989,$AK17))</x:f>
        <x:v/>
      </x:c>
      <x:c r="BA17" s="377" t="str">
        <x:f>IF($AK17="","",COUNTIF('3. 일출(의존)'!$AN$7:$AN$1989,$AK17))</x:f>
        <x:v/>
      </x:c>
      <x:c r="BB17" s="374" t="str">
        <x:f t="shared" si="25"/>
        <x:v/>
      </x:c>
      <x:c r="BC17" s="472" t="str">
        <x:f>IF($AN17="","",IF($AO17="지역개발기금",SUMIFS('3. 일출(의존)'!$AK$8:$AK$2000,'3. 일출(의존)'!$AS$8:$AS$2000,$AN17)+SUMIFS('3. 일출(자체)'!$AJ$8:$AJ$2000,'3. 일출(자체)'!$AM$8:$AM$2000,$AN17),IF($AO17="지방채",SUMIFS('3. 일출(의존)'!$AJ$8:$AJ$2000,'3. 일출(의존)'!$AS$8:$AS$2000,$AN17)+SUMIFS('3. 일출(자체)'!$AI$8:$AI$2000,'3. 일출(자체)'!$AM$8:$AM$2000,$AN17),0)))</x:f>
        <x:v/>
      </x:c>
      <x:c r="BD17" s="377" t="str">
        <x:f>IF($AN17="","",COUNTIF('3. 일출(의존)'!$AS$8:$AS$2000,$AN17)+COUNTIF('3. 일출(자체)'!$AM$8:$AM$2000,$AN17))</x:f>
        <x:v/>
      </x:c>
      <x:c r="BE17" s="374" t="str">
        <x:f t="shared" si="26"/>
        <x:v/>
      </x:c>
    </x:row>
    <x:row r="18" spans="1:57" s="20" customFormat="1" ht="80.099999999999994" customHeight="1">
      <x:c r="A18" s="155" t="str">
        <x:f>IF(D18="","",COUNTA($C$8:C18)-COUNTBLANK($C$8:C18)+1)</x:f>
        <x:v/>
      </x:c>
      <x:c r="B18" s="156" t="str">
        <x: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x:f>
        <x:v/>
      </x:c>
      <x:c r="C18" s="156" t="str">
        <x:f>IF(D18="","",IF(OR(D18="교육지원과",D18="총무과",D18="인사과"),"직접입력",VLOOKUP(D18,구분표!$A$3:$C$258,3,)))</x:f>
        <x:v/>
      </x:c>
      <x:c r="D18" s="219"/>
      <x:c r="E18" s="213"/>
      <x:c r="F18" s="388" t="str">
        <x:f t="shared" si="5"/>
        <x:v/>
      </x:c>
      <x:c r="G18" s="388" t="str">
        <x:f t="shared" si="5"/>
        <x:v/>
      </x:c>
      <x:c r="H18" s="213"/>
      <x:c r="I18" s="156" t="str">
        <x:f>IF(H18="","",VLOOKUP($H18,구분표!$O$3:$P$168,2,FALSE))</x:f>
        <x:v/>
      </x:c>
      <x:c r="J18" s="215"/>
      <x:c r="K18" s="459" t="str">
        <x:f t="shared" si="6"/>
        <x:v/>
      </x:c>
      <x:c r="L18" s="459" t="str">
        <x:f t="shared" si="7"/>
        <x:v/>
      </x:c>
      <x:c r="M18" s="461" t="str">
        <x:f t="shared" si="8"/>
        <x:v/>
      </x:c>
      <x:c r="N18" s="460"/>
      <x:c r="O18" s="461">
        <x:f t="shared" si="9"/>
        <x:v>0</x:v>
      </x:c>
      <x:c r="P18" s="462"/>
      <x:c r="Q18" s="463">
        <x:f t="shared" si="10"/>
        <x:v>0</x:v>
      </x:c>
      <x:c r="R18" s="162" t="str">
        <x:f t="shared" si="11"/>
        <x:v>X</x:v>
      </x:c>
      <x:c r="S18" s="216"/>
      <x:c r="T18" s="327"/>
      <x:c r="U18" s="217"/>
      <x:c r="V18" s="203"/>
      <x:c r="W18" s="217"/>
      <x:c r="X18" s="217"/>
      <x:c r="Y18" s="162" t="str">
        <x:f t="shared" si="12"/>
        <x:v/>
      </x:c>
      <x:c r="Z18" s="45"/>
      <x:c r="AA18" s="471" t="str">
        <x:f t="shared" si="13"/>
        <x:v/>
      </x:c>
      <x:c r="AB18" s="471" t="str">
        <x:f t="shared" si="14"/>
        <x:v/>
      </x:c>
      <x:c r="AC18" s="471" t="str">
        <x:f t="shared" si="15"/>
        <x:v/>
      </x:c>
      <x:c r="AD18" s="471" t="str">
        <x:f t="shared" si="16"/>
        <x:v/>
      </x:c>
      <x:c r="AE18" s="46"/>
      <x:c r="AF18" s="471" t="str">
        <x:f t="shared" si="17"/>
        <x:v/>
      </x:c>
      <x:c r="AG18" s="471" t="str">
        <x:f t="shared" si="18"/>
        <x:v/>
      </x:c>
      <x:c r="AH18" s="471" t="str">
        <x:f t="shared" si="19"/>
        <x:v/>
      </x:c>
      <x:c r="AI18" s="471" t="str">
        <x:f t="shared" si="20"/>
        <x:v/>
      </x:c>
      <x:c r="AJ18" s="87"/>
      <x:c r="AK18" s="374" t="str">
        <x:f>IF($AQ18="","",IF(OR($AL18="",$AL18="도비"),"",CONCATENATE($AQ18,"-",COUNTIF($AQ$8:$AQ18,$AQ18))))</x:f>
        <x:v/>
      </x:c>
      <x:c r="AL18" s="374" t="str">
        <x:f t="shared" si="21"/>
        <x:v/>
      </x:c>
      <x:c r="AM18" s="87"/>
      <x:c r="AN18" s="375" t="str">
        <x:f>IF($AQ18="","",IF(OR($AO18="",$AO18="국비",$AO18="자체"),"",CONCATENATE($AQ18,"-",$AO18,"-",COUNTIF($AQ$8:$AQ18,$AQ18))))</x:f>
        <x:v/>
      </x:c>
      <x:c r="AO18" s="375" t="str">
        <x:f t="shared" si="22"/>
        <x:v/>
      </x:c>
      <x:c r="AP18" s="87"/>
      <x:c r="AQ18" s="374" t="str">
        <x:f t="array" ref="AQ18:AQ18">IF(OR($D18="",$C18="직접입력",$B18="직접입력"),"",INDEX(구분표!$I$2:$I$337,MATCH(1,(구분표!$G$2:$G$337='3. 일입'!$B18)*(구분표!$E$2:$E$337='3. 일입'!$C18)*(구분표!$F$2:$F$337='3. 일입'!$D18),0)))</x:f>
        <x:v/>
      </x:c>
      <x:c r="AR18" s="87"/>
      <x:c r="AS18" s="472" t="str">
        <x:f>IF($AK18="","",SUMIFS('3. 일출(의존)'!$AB$7:$AB$1989,'3. 일출(의존)'!$AN$7:$AN$1989,$AK18))</x:f>
        <x:v/>
      </x:c>
      <x:c r="AT18" s="377" t="str">
        <x:f>IF($AK18="","",COUNTIF('3. 일출(의존)'!$AN$7:$AN$1989,$AK18))</x:f>
        <x:v/>
      </x:c>
      <x:c r="AU18" s="374" t="str">
        <x:f t="shared" si="23"/>
        <x:v/>
      </x:c>
      <x:c r="AV18" s="472" t="str">
        <x:f>IF($AN18="","",IF($AO18="지역개발기금",SUMIFS('3. 일출(의존)'!$AE$8:$AE$2000,'3. 일출(의존)'!$AS$8:$AS$2000,$AN18)+SUMIFS('3. 일출(자체)'!$AE$8:$AE$2000,'3. 일출(자체)'!$AM$8:$AM$2000,$AN18),IF($AO18="지방채",SUMIFS('3. 일출(의존)'!$AD$8:$AD$2000,'3. 일출(의존)'!$AS$8:$AS$2000,$AN18)+SUMIFS('3. 일출(자체)'!$AD$8:$AD$2000,'3. 일출(자체)'!$AM$8:$AM$2000,$AN18),0)))</x:f>
        <x:v/>
      </x:c>
      <x:c r="AW18" s="377" t="str">
        <x:f>IF($AN18="","",COUNTIF('3. 일출(의존)'!$AS$8:$AS$2000,$AN18)+COUNTIF('3. 일출(자체)'!$AM$8:$AM$2000,$AN18))</x:f>
        <x:v/>
      </x:c>
      <x:c r="AX18" s="374" t="str">
        <x:f t="shared" si="24"/>
        <x:v/>
      </x:c>
      <x:c r="AY18" s="91"/>
      <x:c r="AZ18" s="472" t="str">
        <x:f>IF($AK18="","",SUMIFS('3. 일출(의존)'!$AH$8:$AH$1989,'3. 일출(의존)'!$AN$8:$AN$1989,$AK18))</x:f>
        <x:v/>
      </x:c>
      <x:c r="BA18" s="377" t="str">
        <x:f>IF($AK18="","",COUNTIF('3. 일출(의존)'!$AN$7:$AN$1989,$AK18))</x:f>
        <x:v/>
      </x:c>
      <x:c r="BB18" s="374" t="str">
        <x:f t="shared" si="25"/>
        <x:v/>
      </x:c>
      <x:c r="BC18" s="472" t="str">
        <x:f>IF($AN18="","",IF($AO18="지역개발기금",SUMIFS('3. 일출(의존)'!$AK$8:$AK$2000,'3. 일출(의존)'!$AS$8:$AS$2000,$AN18)+SUMIFS('3. 일출(자체)'!$AJ$8:$AJ$2000,'3. 일출(자체)'!$AM$8:$AM$2000,$AN18),IF($AO18="지방채",SUMIFS('3. 일출(의존)'!$AJ$8:$AJ$2000,'3. 일출(의존)'!$AS$8:$AS$2000,$AN18)+SUMIFS('3. 일출(자체)'!$AI$8:$AI$2000,'3. 일출(자체)'!$AM$8:$AM$2000,$AN18),0)))</x:f>
        <x:v/>
      </x:c>
      <x:c r="BD18" s="377" t="str">
        <x:f>IF($AN18="","",COUNTIF('3. 일출(의존)'!$AS$8:$AS$2000,$AN18)+COUNTIF('3. 일출(자체)'!$AM$8:$AM$2000,$AN18))</x:f>
        <x:v/>
      </x:c>
      <x:c r="BE18" s="374" t="str">
        <x:f t="shared" si="26"/>
        <x:v/>
      </x:c>
    </x:row>
    <x:row r="19" spans="1:57" s="20" customFormat="1" ht="80.099999999999994" customHeight="1">
      <x:c r="A19" s="155" t="str">
        <x:f>IF(D19="","",COUNTA($C$8:C19)-COUNTBLANK($C$8:C19)+1)</x:f>
        <x:v/>
      </x:c>
      <x:c r="B19" s="156" t="str">
        <x: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x:f>
        <x:v/>
      </x:c>
      <x:c r="C19" s="156" t="str">
        <x:f>IF(D19="","",IF(OR(D19="교육지원과",D19="총무과",D19="인사과"),"직접입력",VLOOKUP(D19,구분표!$A$3:$C$258,3,)))</x:f>
        <x:v/>
      </x:c>
      <x:c r="D19" s="219"/>
      <x:c r="E19" s="213"/>
      <x:c r="F19" s="388" t="str">
        <x:f t="shared" si="5"/>
        <x:v/>
      </x:c>
      <x:c r="G19" s="388" t="str">
        <x:f t="shared" si="5"/>
        <x:v/>
      </x:c>
      <x:c r="H19" s="213"/>
      <x:c r="I19" s="156" t="str">
        <x:f>IF(H19="","",VLOOKUP($H19,구분표!$O$3:$P$168,2,FALSE))</x:f>
        <x:v/>
      </x:c>
      <x:c r="J19" s="215"/>
      <x:c r="K19" s="459" t="str">
        <x:f t="shared" si="6"/>
        <x:v/>
      </x:c>
      <x:c r="L19" s="459" t="str">
        <x:f t="shared" si="7"/>
        <x:v/>
      </x:c>
      <x:c r="M19" s="461" t="str">
        <x:f t="shared" si="8"/>
        <x:v/>
      </x:c>
      <x:c r="N19" s="460"/>
      <x:c r="O19" s="461">
        <x:f t="shared" si="9"/>
        <x:v>0</x:v>
      </x:c>
      <x:c r="P19" s="462"/>
      <x:c r="Q19" s="463">
        <x:f t="shared" si="10"/>
        <x:v>0</x:v>
      </x:c>
      <x:c r="R19" s="162" t="str">
        <x:f t="shared" si="11"/>
        <x:v>X</x:v>
      </x:c>
      <x:c r="S19" s="216"/>
      <x:c r="T19" s="327"/>
      <x:c r="U19" s="217"/>
      <x:c r="V19" s="203"/>
      <x:c r="W19" s="217"/>
      <x:c r="X19" s="217"/>
      <x:c r="Y19" s="162" t="str">
        <x:f t="shared" si="12"/>
        <x:v/>
      </x:c>
      <x:c r="Z19" s="45"/>
      <x:c r="AA19" s="471" t="str">
        <x:f t="shared" si="13"/>
        <x:v/>
      </x:c>
      <x:c r="AB19" s="471" t="str">
        <x:f t="shared" si="14"/>
        <x:v/>
      </x:c>
      <x:c r="AC19" s="471" t="str">
        <x:f t="shared" si="15"/>
        <x:v/>
      </x:c>
      <x:c r="AD19" s="471" t="str">
        <x:f t="shared" si="16"/>
        <x:v/>
      </x:c>
      <x:c r="AE19" s="46"/>
      <x:c r="AF19" s="471" t="str">
        <x:f t="shared" si="17"/>
        <x:v/>
      </x:c>
      <x:c r="AG19" s="471" t="str">
        <x:f t="shared" si="18"/>
        <x:v/>
      </x:c>
      <x:c r="AH19" s="471" t="str">
        <x:f t="shared" si="19"/>
        <x:v/>
      </x:c>
      <x:c r="AI19" s="471" t="str">
        <x:f t="shared" si="20"/>
        <x:v/>
      </x:c>
      <x:c r="AJ19" s="87"/>
      <x:c r="AK19" s="374" t="str">
        <x:f>IF($AQ19="","",IF(OR($AL19="",$AL19="도비"),"",CONCATENATE($AQ19,"-",COUNTIF($AQ$8:$AQ19,$AQ19))))</x:f>
        <x:v/>
      </x:c>
      <x:c r="AL19" s="374" t="str">
        <x:f t="shared" si="21"/>
        <x:v/>
      </x:c>
      <x:c r="AM19" s="87"/>
      <x:c r="AN19" s="375" t="str">
        <x:f>IF($AQ19="","",IF(OR($AO19="",$AO19="국비",$AO19="자체"),"",CONCATENATE($AQ19,"-",$AO19,"-",COUNTIF($AQ$8:$AQ19,$AQ19))))</x:f>
        <x:v/>
      </x:c>
      <x:c r="AO19" s="375" t="str">
        <x:f t="shared" si="22"/>
        <x:v/>
      </x:c>
      <x:c r="AP19" s="87"/>
      <x:c r="AQ19" s="374" t="str">
        <x:f t="array" ref="AQ19:AQ19">IF(OR($D19="",$C19="직접입력",$B19="직접입력"),"",INDEX(구분표!$I$2:$I$337,MATCH(1,(구분표!$G$2:$G$337='3. 일입'!$B19)*(구분표!$E$2:$E$337='3. 일입'!$C19)*(구분표!$F$2:$F$337='3. 일입'!$D19),0)))</x:f>
        <x:v/>
      </x:c>
      <x:c r="AR19" s="87"/>
      <x:c r="AS19" s="472" t="str">
        <x:f>IF($AK19="","",SUMIFS('3. 일출(의존)'!$AB$7:$AB$1989,'3. 일출(의존)'!$AN$7:$AN$1989,$AK19))</x:f>
        <x:v/>
      </x:c>
      <x:c r="AT19" s="377" t="str">
        <x:f>IF($AK19="","",COUNTIF('3. 일출(의존)'!$AN$7:$AN$1989,$AK19))</x:f>
        <x:v/>
      </x:c>
      <x:c r="AU19" s="374" t="str">
        <x:f t="shared" si="23"/>
        <x:v/>
      </x:c>
      <x:c r="AV19" s="472" t="str">
        <x:f>IF($AN19="","",IF($AO19="지역개발기금",SUMIFS('3. 일출(의존)'!$AE$8:$AE$2000,'3. 일출(의존)'!$AS$8:$AS$2000,$AN19)+SUMIFS('3. 일출(자체)'!$AE$8:$AE$2000,'3. 일출(자체)'!$AM$8:$AM$2000,$AN19),IF($AO19="지방채",SUMIFS('3. 일출(의존)'!$AD$8:$AD$2000,'3. 일출(의존)'!$AS$8:$AS$2000,$AN19)+SUMIFS('3. 일출(자체)'!$AD$8:$AD$2000,'3. 일출(자체)'!$AM$8:$AM$2000,$AN19),0)))</x:f>
        <x:v/>
      </x:c>
      <x:c r="AW19" s="377" t="str">
        <x:f>IF($AN19="","",COUNTIF('3. 일출(의존)'!$AS$8:$AS$2000,$AN19)+COUNTIF('3. 일출(자체)'!$AM$8:$AM$2000,$AN19))</x:f>
        <x:v/>
      </x:c>
      <x:c r="AX19" s="374" t="str">
        <x:f t="shared" si="24"/>
        <x:v/>
      </x:c>
      <x:c r="AY19" s="91"/>
      <x:c r="AZ19" s="472" t="str">
        <x:f>IF($AK19="","",SUMIFS('3. 일출(의존)'!$AH$8:$AH$1989,'3. 일출(의존)'!$AN$8:$AN$1989,$AK19))</x:f>
        <x:v/>
      </x:c>
      <x:c r="BA19" s="377" t="str">
        <x:f>IF($AK19="","",COUNTIF('3. 일출(의존)'!$AN$7:$AN$1989,$AK19))</x:f>
        <x:v/>
      </x:c>
      <x:c r="BB19" s="374" t="str">
        <x:f t="shared" si="25"/>
        <x:v/>
      </x:c>
      <x:c r="BC19" s="472" t="str">
        <x:f>IF($AN19="","",IF($AO19="지역개발기금",SUMIFS('3. 일출(의존)'!$AK$8:$AK$2000,'3. 일출(의존)'!$AS$8:$AS$2000,$AN19)+SUMIFS('3. 일출(자체)'!$AJ$8:$AJ$2000,'3. 일출(자체)'!$AM$8:$AM$2000,$AN19),IF($AO19="지방채",SUMIFS('3. 일출(의존)'!$AJ$8:$AJ$2000,'3. 일출(의존)'!$AS$8:$AS$2000,$AN19)+SUMIFS('3. 일출(자체)'!$AI$8:$AI$2000,'3. 일출(자체)'!$AM$8:$AM$2000,$AN19),0)))</x:f>
        <x:v/>
      </x:c>
      <x:c r="BD19" s="377" t="str">
        <x:f>IF($AN19="","",COUNTIF('3. 일출(의존)'!$AS$8:$AS$2000,$AN19)+COUNTIF('3. 일출(자체)'!$AM$8:$AM$2000,$AN19))</x:f>
        <x:v/>
      </x:c>
      <x:c r="BE19" s="374" t="str">
        <x:f t="shared" si="26"/>
        <x:v/>
      </x:c>
    </x:row>
    <x:row r="20" spans="1:57" s="20" customFormat="1" ht="80.099999999999994" customHeight="1">
      <x:c r="A20" s="155" t="str">
        <x:f>IF(D20="","",COUNTA($C$8:C20)-COUNTBLANK($C$8:C20)+1)</x:f>
        <x:v/>
      </x:c>
      <x:c r="B20" s="156" t="str">
        <x: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x:f>
        <x:v/>
      </x:c>
      <x:c r="C20" s="156" t="str">
        <x:f>IF(D20="","",IF(OR(D20="교육지원과",D20="총무과",D20="인사과"),"직접입력",VLOOKUP(D20,구분표!$A$3:$C$258,3,)))</x:f>
        <x:v/>
      </x:c>
      <x:c r="D20" s="219"/>
      <x:c r="E20" s="213"/>
      <x:c r="F20" s="388" t="str">
        <x:f t="shared" si="5"/>
        <x:v/>
      </x:c>
      <x:c r="G20" s="388" t="str">
        <x:f t="shared" si="5"/>
        <x:v/>
      </x:c>
      <x:c r="H20" s="213"/>
      <x:c r="I20" s="156" t="str">
        <x:f>IF(H20="","",VLOOKUP($H20,구분표!$O$3:$P$168,2,FALSE))</x:f>
        <x:v/>
      </x:c>
      <x:c r="J20" s="215"/>
      <x:c r="K20" s="459" t="str">
        <x:f t="shared" si="6"/>
        <x:v/>
      </x:c>
      <x:c r="L20" s="459" t="str">
        <x:f t="shared" si="7"/>
        <x:v/>
      </x:c>
      <x:c r="M20" s="461" t="str">
        <x:f t="shared" si="8"/>
        <x:v/>
      </x:c>
      <x:c r="N20" s="460"/>
      <x:c r="O20" s="461">
        <x:f t="shared" si="9"/>
        <x:v>0</x:v>
      </x:c>
      <x:c r="P20" s="462"/>
      <x:c r="Q20" s="463">
        <x:f t="shared" si="10"/>
        <x:v>0</x:v>
      </x:c>
      <x:c r="R20" s="162" t="str">
        <x:f t="shared" si="11"/>
        <x:v>X</x:v>
      </x:c>
      <x:c r="S20" s="216"/>
      <x:c r="T20" s="327"/>
      <x:c r="U20" s="217"/>
      <x:c r="V20" s="203"/>
      <x:c r="W20" s="217"/>
      <x:c r="X20" s="217"/>
      <x:c r="Y20" s="162" t="str">
        <x:f t="shared" si="12"/>
        <x:v/>
      </x:c>
      <x:c r="Z20" s="45"/>
      <x:c r="AA20" s="471" t="str">
        <x:f t="shared" si="13"/>
        <x:v/>
      </x:c>
      <x:c r="AB20" s="471" t="str">
        <x:f t="shared" si="14"/>
        <x:v/>
      </x:c>
      <x:c r="AC20" s="471" t="str">
        <x:f t="shared" si="15"/>
        <x:v/>
      </x:c>
      <x:c r="AD20" s="471" t="str">
        <x:f t="shared" si="16"/>
        <x:v/>
      </x:c>
      <x:c r="AE20" s="46"/>
      <x:c r="AF20" s="471" t="str">
        <x:f t="shared" si="17"/>
        <x:v/>
      </x:c>
      <x:c r="AG20" s="471" t="str">
        <x:f t="shared" si="18"/>
        <x:v/>
      </x:c>
      <x:c r="AH20" s="471" t="str">
        <x:f t="shared" si="19"/>
        <x:v/>
      </x:c>
      <x:c r="AI20" s="471" t="str">
        <x:f t="shared" si="20"/>
        <x:v/>
      </x:c>
      <x:c r="AJ20" s="87"/>
      <x:c r="AK20" s="374" t="str">
        <x:f>IF($AQ20="","",IF(OR($AL20="",$AL20="도비"),"",CONCATENATE($AQ20,"-",COUNTIF($AQ$8:$AQ20,$AQ20))))</x:f>
        <x:v/>
      </x:c>
      <x:c r="AL20" s="374" t="str">
        <x:f t="shared" si="21"/>
        <x:v/>
      </x:c>
      <x:c r="AM20" s="87"/>
      <x:c r="AN20" s="375" t="str">
        <x:f>IF($AQ20="","",IF(OR($AO20="",$AO20="국비",$AO20="자체"),"",CONCATENATE($AQ20,"-",$AO20,"-",COUNTIF($AQ$8:$AQ20,$AQ20))))</x:f>
        <x:v/>
      </x:c>
      <x:c r="AO20" s="375" t="str">
        <x:f t="shared" si="22"/>
        <x:v/>
      </x:c>
      <x:c r="AP20" s="87"/>
      <x:c r="AQ20" s="374" t="str">
        <x:f t="array" ref="AQ20:AQ20">IF(OR($D20="",$C20="직접입력",$B20="직접입력"),"",INDEX(구분표!$I$2:$I$337,MATCH(1,(구분표!$G$2:$G$337='3. 일입'!$B20)*(구분표!$E$2:$E$337='3. 일입'!$C20)*(구분표!$F$2:$F$337='3. 일입'!$D20),0)))</x:f>
        <x:v/>
      </x:c>
      <x:c r="AR20" s="87"/>
      <x:c r="AS20" s="472" t="str">
        <x:f>IF($AK20="","",SUMIFS('3. 일출(의존)'!$AB$7:$AB$1989,'3. 일출(의존)'!$AN$7:$AN$1989,$AK20))</x:f>
        <x:v/>
      </x:c>
      <x:c r="AT20" s="377" t="str">
        <x:f>IF($AK20="","",COUNTIF('3. 일출(의존)'!$AN$7:$AN$1989,$AK20))</x:f>
        <x:v/>
      </x:c>
      <x:c r="AU20" s="374" t="str">
        <x:f t="shared" si="23"/>
        <x:v/>
      </x:c>
      <x:c r="AV20" s="472" t="str">
        <x:f>IF($AN20="","",IF($AO20="지역개발기금",SUMIFS('3. 일출(의존)'!$AE$8:$AE$2000,'3. 일출(의존)'!$AS$8:$AS$2000,$AN20)+SUMIFS('3. 일출(자체)'!$AE$8:$AE$2000,'3. 일출(자체)'!$AM$8:$AM$2000,$AN20),IF($AO20="지방채",SUMIFS('3. 일출(의존)'!$AD$8:$AD$2000,'3. 일출(의존)'!$AS$8:$AS$2000,$AN20)+SUMIFS('3. 일출(자체)'!$AD$8:$AD$2000,'3. 일출(자체)'!$AM$8:$AM$2000,$AN20),0)))</x:f>
        <x:v/>
      </x:c>
      <x:c r="AW20" s="377" t="str">
        <x:f>IF($AN20="","",COUNTIF('3. 일출(의존)'!$AS$8:$AS$2000,$AN20)+COUNTIF('3. 일출(자체)'!$AM$8:$AM$2000,$AN20))</x:f>
        <x:v/>
      </x:c>
      <x:c r="AX20" s="374" t="str">
        <x:f t="shared" si="24"/>
        <x:v/>
      </x:c>
      <x:c r="AY20" s="91"/>
      <x:c r="AZ20" s="472" t="str">
        <x:f>IF($AK20="","",SUMIFS('3. 일출(의존)'!$AH$8:$AH$1989,'3. 일출(의존)'!$AN$8:$AN$1989,$AK20))</x:f>
        <x:v/>
      </x:c>
      <x:c r="BA20" s="377" t="str">
        <x:f>IF($AK20="","",COUNTIF('3. 일출(의존)'!$AN$7:$AN$1989,$AK20))</x:f>
        <x:v/>
      </x:c>
      <x:c r="BB20" s="374" t="str">
        <x:f t="shared" si="25"/>
        <x:v/>
      </x:c>
      <x:c r="BC20" s="472" t="str">
        <x:f>IF($AN20="","",IF($AO20="지역개발기금",SUMIFS('3. 일출(의존)'!$AK$8:$AK$2000,'3. 일출(의존)'!$AS$8:$AS$2000,$AN20)+SUMIFS('3. 일출(자체)'!$AJ$8:$AJ$2000,'3. 일출(자체)'!$AM$8:$AM$2000,$AN20),IF($AO20="지방채",SUMIFS('3. 일출(의존)'!$AJ$8:$AJ$2000,'3. 일출(의존)'!$AS$8:$AS$2000,$AN20)+SUMIFS('3. 일출(자체)'!$AI$8:$AI$2000,'3. 일출(자체)'!$AM$8:$AM$2000,$AN20),0)))</x:f>
        <x:v/>
      </x:c>
      <x:c r="BD20" s="377" t="str">
        <x:f>IF($AN20="","",COUNTIF('3. 일출(의존)'!$AS$8:$AS$2000,$AN20)+COUNTIF('3. 일출(자체)'!$AM$8:$AM$2000,$AN20))</x:f>
        <x:v/>
      </x:c>
      <x:c r="BE20" s="374" t="str">
        <x:f t="shared" si="26"/>
        <x:v/>
      </x:c>
    </x:row>
    <x:row r="21" spans="1:57" s="20" customFormat="1" ht="80.099999999999994" customHeight="1">
      <x:c r="A21" s="155" t="str">
        <x:f>IF(D21="","",COUNTA($C$8:C21)-COUNTBLANK($C$8:C21)+1)</x:f>
        <x:v/>
      </x:c>
      <x:c r="B21" s="156" t="str">
        <x: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x:f>
        <x:v/>
      </x:c>
      <x:c r="C21" s="156" t="str">
        <x:f>IF(D21="","",IF(OR(D21="교육지원과",D21="총무과",D21="인사과"),"직접입력",VLOOKUP(D21,구분표!$A$3:$C$258,3,)))</x:f>
        <x:v/>
      </x:c>
      <x:c r="D21" s="219"/>
      <x:c r="E21" s="213"/>
      <x:c r="F21" s="388" t="str">
        <x:f t="shared" si="5"/>
        <x:v/>
      </x:c>
      <x:c r="G21" s="388" t="str">
        <x:f t="shared" si="5"/>
        <x:v/>
      </x:c>
      <x:c r="H21" s="213"/>
      <x:c r="I21" s="156" t="str">
        <x:f>IF(H21="","",VLOOKUP($H21,구분표!$O$3:$P$168,2,FALSE))</x:f>
        <x:v/>
      </x:c>
      <x:c r="J21" s="215"/>
      <x:c r="K21" s="459" t="str">
        <x:f t="shared" si="6"/>
        <x:v/>
      </x:c>
      <x:c r="L21" s="459" t="str">
        <x:f t="shared" si="7"/>
        <x:v/>
      </x:c>
      <x:c r="M21" s="461" t="str">
        <x:f t="shared" si="8"/>
        <x:v/>
      </x:c>
      <x:c r="N21" s="460"/>
      <x:c r="O21" s="461">
        <x:f t="shared" si="9"/>
        <x:v>0</x:v>
      </x:c>
      <x:c r="P21" s="462"/>
      <x:c r="Q21" s="463">
        <x:f t="shared" si="10"/>
        <x:v>0</x:v>
      </x:c>
      <x:c r="R21" s="162" t="str">
        <x:f t="shared" si="11"/>
        <x:v>X</x:v>
      </x:c>
      <x:c r="S21" s="216"/>
      <x:c r="T21" s="327"/>
      <x:c r="U21" s="217"/>
      <x:c r="V21" s="203"/>
      <x:c r="W21" s="217"/>
      <x:c r="X21" s="217"/>
      <x:c r="Y21" s="162" t="str">
        <x:f t="shared" si="12"/>
        <x:v/>
      </x:c>
      <x:c r="Z21" s="45"/>
      <x:c r="AA21" s="471" t="str">
        <x:f t="shared" si="13"/>
        <x:v/>
      </x:c>
      <x:c r="AB21" s="471" t="str">
        <x:f t="shared" si="14"/>
        <x:v/>
      </x:c>
      <x:c r="AC21" s="471" t="str">
        <x:f t="shared" si="15"/>
        <x:v/>
      </x:c>
      <x:c r="AD21" s="471" t="str">
        <x:f t="shared" si="16"/>
        <x:v/>
      </x:c>
      <x:c r="AE21" s="46"/>
      <x:c r="AF21" s="471" t="str">
        <x:f t="shared" si="17"/>
        <x:v/>
      </x:c>
      <x:c r="AG21" s="471" t="str">
        <x:f t="shared" si="18"/>
        <x:v/>
      </x:c>
      <x:c r="AH21" s="471" t="str">
        <x:f t="shared" si="19"/>
        <x:v/>
      </x:c>
      <x:c r="AI21" s="471" t="str">
        <x:f t="shared" si="20"/>
        <x:v/>
      </x:c>
      <x:c r="AJ21" s="87"/>
      <x:c r="AK21" s="374" t="str">
        <x:f>IF($AQ21="","",IF(OR($AL21="",$AL21="도비"),"",CONCATENATE($AQ21,"-",COUNTIF($AQ$8:$AQ21,$AQ21))))</x:f>
        <x:v/>
      </x:c>
      <x:c r="AL21" s="374" t="str">
        <x:f t="shared" si="21"/>
        <x:v/>
      </x:c>
      <x:c r="AM21" s="87"/>
      <x:c r="AN21" s="375" t="str">
        <x:f>IF($AQ21="","",IF(OR($AO21="",$AO21="국비",$AO21="자체"),"",CONCATENATE($AQ21,"-",$AO21,"-",COUNTIF($AQ$8:$AQ21,$AQ21))))</x:f>
        <x:v/>
      </x:c>
      <x:c r="AO21" s="375" t="str">
        <x:f t="shared" si="22"/>
        <x:v/>
      </x:c>
      <x:c r="AP21" s="87"/>
      <x:c r="AQ21" s="374" t="str">
        <x:f t="array" ref="AQ21:AQ21">IF(OR($D21="",$C21="직접입력",$B21="직접입력"),"",INDEX(구분표!$I$2:$I$337,MATCH(1,(구분표!$G$2:$G$337='3. 일입'!$B21)*(구분표!$E$2:$E$337='3. 일입'!$C21)*(구분표!$F$2:$F$337='3. 일입'!$D21),0)))</x:f>
        <x:v/>
      </x:c>
      <x:c r="AR21" s="87"/>
      <x:c r="AS21" s="472" t="str">
        <x:f>IF($AK21="","",SUMIFS('3. 일출(의존)'!$AB$7:$AB$1989,'3. 일출(의존)'!$AN$7:$AN$1989,$AK21))</x:f>
        <x:v/>
      </x:c>
      <x:c r="AT21" s="377" t="str">
        <x:f>IF($AK21="","",COUNTIF('3. 일출(의존)'!$AN$7:$AN$1989,$AK21))</x:f>
        <x:v/>
      </x:c>
      <x:c r="AU21" s="374" t="str">
        <x:f t="shared" si="23"/>
        <x:v/>
      </x:c>
      <x:c r="AV21" s="472" t="str">
        <x:f>IF($AN21="","",IF($AO21="지역개발기금",SUMIFS('3. 일출(의존)'!$AE$8:$AE$2000,'3. 일출(의존)'!$AS$8:$AS$2000,$AN21)+SUMIFS('3. 일출(자체)'!$AE$8:$AE$2000,'3. 일출(자체)'!$AM$8:$AM$2000,$AN21),IF($AO21="지방채",SUMIFS('3. 일출(의존)'!$AD$8:$AD$2000,'3. 일출(의존)'!$AS$8:$AS$2000,$AN21)+SUMIFS('3. 일출(자체)'!$AD$8:$AD$2000,'3. 일출(자체)'!$AM$8:$AM$2000,$AN21),0)))</x:f>
        <x:v/>
      </x:c>
      <x:c r="AW21" s="377" t="str">
        <x:f>IF($AN21="","",COUNTIF('3. 일출(의존)'!$AS$8:$AS$2000,$AN21)+COUNTIF('3. 일출(자체)'!$AM$8:$AM$2000,$AN21))</x:f>
        <x:v/>
      </x:c>
      <x:c r="AX21" s="374" t="str">
        <x:f t="shared" si="24"/>
        <x:v/>
      </x:c>
      <x:c r="AY21" s="91"/>
      <x:c r="AZ21" s="472" t="str">
        <x:f>IF($AK21="","",SUMIFS('3. 일출(의존)'!$AH$8:$AH$1989,'3. 일출(의존)'!$AN$8:$AN$1989,$AK21))</x:f>
        <x:v/>
      </x:c>
      <x:c r="BA21" s="377" t="str">
        <x:f>IF($AK21="","",COUNTIF('3. 일출(의존)'!$AN$7:$AN$1989,$AK21))</x:f>
        <x:v/>
      </x:c>
      <x:c r="BB21" s="374" t="str">
        <x:f t="shared" si="25"/>
        <x:v/>
      </x:c>
      <x:c r="BC21" s="472" t="str">
        <x:f>IF($AN21="","",IF($AO21="지역개발기금",SUMIFS('3. 일출(의존)'!$AK$8:$AK$2000,'3. 일출(의존)'!$AS$8:$AS$2000,$AN21)+SUMIFS('3. 일출(자체)'!$AJ$8:$AJ$2000,'3. 일출(자체)'!$AM$8:$AM$2000,$AN21),IF($AO21="지방채",SUMIFS('3. 일출(의존)'!$AJ$8:$AJ$2000,'3. 일출(의존)'!$AS$8:$AS$2000,$AN21)+SUMIFS('3. 일출(자체)'!$AI$8:$AI$2000,'3. 일출(자체)'!$AM$8:$AM$2000,$AN21),0)))</x:f>
        <x:v/>
      </x:c>
      <x:c r="BD21" s="377" t="str">
        <x:f>IF($AN21="","",COUNTIF('3. 일출(의존)'!$AS$8:$AS$2000,$AN21)+COUNTIF('3. 일출(자체)'!$AM$8:$AM$2000,$AN21))</x:f>
        <x:v/>
      </x:c>
      <x:c r="BE21" s="374" t="str">
        <x:f t="shared" si="26"/>
        <x:v/>
      </x:c>
    </x:row>
    <x:row r="22" spans="1:57" s="20" customFormat="1" ht="80.099999999999994" customHeight="1">
      <x:c r="A22" s="155" t="str">
        <x:f>IF(D22="","",COUNTA($C$8:C22)-COUNTBLANK($C$8:C22)+1)</x:f>
        <x:v/>
      </x:c>
      <x:c r="B22" s="156" t="str">
        <x: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x:f>
        <x:v/>
      </x:c>
      <x:c r="C22" s="156" t="str">
        <x:f>IF(D22="","",IF(OR(D22="교육지원과",D22="총무과",D22="인사과"),"직접입력",VLOOKUP(D22,구분표!$A$3:$C$258,3,)))</x:f>
        <x:v/>
      </x:c>
      <x:c r="D22" s="219"/>
      <x:c r="E22" s="213"/>
      <x:c r="F22" s="388" t="str">
        <x:f t="shared" si="5"/>
        <x:v/>
      </x:c>
      <x:c r="G22" s="388" t="str">
        <x:f t="shared" si="5"/>
        <x:v/>
      </x:c>
      <x:c r="H22" s="213"/>
      <x:c r="I22" s="156" t="str">
        <x:f>IF(H22="","",VLOOKUP($H22,구분표!$O$3:$P$168,2,FALSE))</x:f>
        <x:v/>
      </x:c>
      <x:c r="J22" s="215"/>
      <x:c r="K22" s="459" t="str">
        <x:f t="shared" si="6"/>
        <x:v/>
      </x:c>
      <x:c r="L22" s="459" t="str">
        <x:f t="shared" si="7"/>
        <x:v/>
      </x:c>
      <x:c r="M22" s="461" t="str">
        <x:f t="shared" si="8"/>
        <x:v/>
      </x:c>
      <x:c r="N22" s="460"/>
      <x:c r="O22" s="461">
        <x:f t="shared" si="9"/>
        <x:v>0</x:v>
      </x:c>
      <x:c r="P22" s="462"/>
      <x:c r="Q22" s="463">
        <x:f t="shared" si="10"/>
        <x:v>0</x:v>
      </x:c>
      <x:c r="R22" s="162" t="str">
        <x:f t="shared" si="11"/>
        <x:v>X</x:v>
      </x:c>
      <x:c r="S22" s="216"/>
      <x:c r="T22" s="327"/>
      <x:c r="U22" s="217"/>
      <x:c r="V22" s="203"/>
      <x:c r="W22" s="217"/>
      <x:c r="X22" s="217"/>
      <x:c r="Y22" s="162" t="str">
        <x:f t="shared" si="12"/>
        <x:v/>
      </x:c>
      <x:c r="Z22" s="45"/>
      <x:c r="AA22" s="471" t="str">
        <x:f t="shared" si="13"/>
        <x:v/>
      </x:c>
      <x:c r="AB22" s="471" t="str">
        <x:f t="shared" si="14"/>
        <x:v/>
      </x:c>
      <x:c r="AC22" s="471" t="str">
        <x:f t="shared" si="15"/>
        <x:v/>
      </x:c>
      <x:c r="AD22" s="471" t="str">
        <x:f t="shared" si="16"/>
        <x:v/>
      </x:c>
      <x:c r="AE22" s="46"/>
      <x:c r="AF22" s="471" t="str">
        <x:f t="shared" si="17"/>
        <x:v/>
      </x:c>
      <x:c r="AG22" s="471" t="str">
        <x:f t="shared" si="18"/>
        <x:v/>
      </x:c>
      <x:c r="AH22" s="471" t="str">
        <x:f t="shared" si="19"/>
        <x:v/>
      </x:c>
      <x:c r="AI22" s="471" t="str">
        <x:f t="shared" si="20"/>
        <x:v/>
      </x:c>
      <x:c r="AJ22" s="87"/>
      <x:c r="AK22" s="374" t="str">
        <x:f>IF($AQ22="","",IF(OR($AL22="",$AL22="도비"),"",CONCATENATE($AQ22,"-",COUNTIF($AQ$8:$AQ22,$AQ22))))</x:f>
        <x:v/>
      </x:c>
      <x:c r="AL22" s="374" t="str">
        <x:f t="shared" si="21"/>
        <x:v/>
      </x:c>
      <x:c r="AM22" s="87"/>
      <x:c r="AN22" s="375" t="str">
        <x:f>IF($AQ22="","",IF(OR($AO22="",$AO22="국비",$AO22="자체"),"",CONCATENATE($AQ22,"-",$AO22,"-",COUNTIF($AQ$8:$AQ22,$AQ22))))</x:f>
        <x:v/>
      </x:c>
      <x:c r="AO22" s="375" t="str">
        <x:f t="shared" si="22"/>
        <x:v/>
      </x:c>
      <x:c r="AP22" s="87"/>
      <x:c r="AQ22" s="374" t="str">
        <x:f t="array" ref="AQ22:AQ22">IF(OR($D22="",$C22="직접입력",$B22="직접입력"),"",INDEX(구분표!$I$2:$I$337,MATCH(1,(구분표!$G$2:$G$337='3. 일입'!$B22)*(구분표!$E$2:$E$337='3. 일입'!$C22)*(구분표!$F$2:$F$337='3. 일입'!$D22),0)))</x:f>
        <x:v/>
      </x:c>
      <x:c r="AR22" s="87"/>
      <x:c r="AS22" s="472" t="str">
        <x:f>IF($AK22="","",SUMIFS('3. 일출(의존)'!$AB$7:$AB$1989,'3. 일출(의존)'!$AN$7:$AN$1989,$AK22))</x:f>
        <x:v/>
      </x:c>
      <x:c r="AT22" s="377" t="str">
        <x:f>IF($AK22="","",COUNTIF('3. 일출(의존)'!$AN$7:$AN$1989,$AK22))</x:f>
        <x:v/>
      </x:c>
      <x:c r="AU22" s="374" t="str">
        <x:f t="shared" si="23"/>
        <x:v/>
      </x:c>
      <x:c r="AV22" s="472" t="str">
        <x:f>IF($AN22="","",IF($AO22="지역개발기금",SUMIFS('3. 일출(의존)'!$AE$8:$AE$2000,'3. 일출(의존)'!$AS$8:$AS$2000,$AN22)+SUMIFS('3. 일출(자체)'!$AE$8:$AE$2000,'3. 일출(자체)'!$AM$8:$AM$2000,$AN22),IF($AO22="지방채",SUMIFS('3. 일출(의존)'!$AD$8:$AD$2000,'3. 일출(의존)'!$AS$8:$AS$2000,$AN22)+SUMIFS('3. 일출(자체)'!$AD$8:$AD$2000,'3. 일출(자체)'!$AM$8:$AM$2000,$AN22),0)))</x:f>
        <x:v/>
      </x:c>
      <x:c r="AW22" s="377" t="str">
        <x:f>IF($AN22="","",COUNTIF('3. 일출(의존)'!$AS$8:$AS$2000,$AN22)+COUNTIF('3. 일출(자체)'!$AM$8:$AM$2000,$AN22))</x:f>
        <x:v/>
      </x:c>
      <x:c r="AX22" s="374" t="str">
        <x:f t="shared" si="24"/>
        <x:v/>
      </x:c>
      <x:c r="AY22" s="91"/>
      <x:c r="AZ22" s="472" t="str">
        <x:f>IF($AK22="","",SUMIFS('3. 일출(의존)'!$AH$8:$AH$1989,'3. 일출(의존)'!$AN$8:$AN$1989,$AK22))</x:f>
        <x:v/>
      </x:c>
      <x:c r="BA22" s="377" t="str">
        <x:f>IF($AK22="","",COUNTIF('3. 일출(의존)'!$AN$7:$AN$1989,$AK22))</x:f>
        <x:v/>
      </x:c>
      <x:c r="BB22" s="374" t="str">
        <x:f t="shared" si="25"/>
        <x:v/>
      </x:c>
      <x:c r="BC22" s="472" t="str">
        <x:f>IF($AN22="","",IF($AO22="지역개발기금",SUMIFS('3. 일출(의존)'!$AK$8:$AK$2000,'3. 일출(의존)'!$AS$8:$AS$2000,$AN22)+SUMIFS('3. 일출(자체)'!$AJ$8:$AJ$2000,'3. 일출(자체)'!$AM$8:$AM$2000,$AN22),IF($AO22="지방채",SUMIFS('3. 일출(의존)'!$AJ$8:$AJ$2000,'3. 일출(의존)'!$AS$8:$AS$2000,$AN22)+SUMIFS('3. 일출(자체)'!$AI$8:$AI$2000,'3. 일출(자체)'!$AM$8:$AM$2000,$AN22),0)))</x:f>
        <x:v/>
      </x:c>
      <x:c r="BD22" s="377" t="str">
        <x:f>IF($AN22="","",COUNTIF('3. 일출(의존)'!$AS$8:$AS$2000,$AN22)+COUNTIF('3. 일출(자체)'!$AM$8:$AM$2000,$AN22))</x:f>
        <x:v/>
      </x:c>
      <x:c r="BE22" s="374" t="str">
        <x:f t="shared" si="26"/>
        <x:v/>
      </x:c>
    </x:row>
    <x:row r="23" spans="1:57" s="20" customFormat="1" ht="80.099999999999994" customHeight="1">
      <x:c r="A23" s="155" t="str">
        <x:f>IF(D23="","",COUNTA($C$8:C23)-COUNTBLANK($C$8:C23)+1)</x:f>
        <x:v/>
      </x:c>
      <x:c r="B23" s="156" t="str">
        <x: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x:f>
        <x:v/>
      </x:c>
      <x:c r="C23" s="156" t="str">
        <x:f>IF(D23="","",IF(OR(D23="교육지원과",D23="총무과",D23="인사과"),"직접입력",VLOOKUP(D23,구분표!$A$3:$C$258,3,)))</x:f>
        <x:v/>
      </x:c>
      <x:c r="D23" s="219"/>
      <x:c r="E23" s="213"/>
      <x:c r="F23" s="388" t="str">
        <x:f t="shared" si="5"/>
        <x:v/>
      </x:c>
      <x:c r="G23" s="388" t="str">
        <x:f t="shared" si="5"/>
        <x:v/>
      </x:c>
      <x:c r="H23" s="213"/>
      <x:c r="I23" s="156" t="str">
        <x:f>IF(H23="","",VLOOKUP($H23,구분표!$O$3:$P$168,2,FALSE))</x:f>
        <x:v/>
      </x:c>
      <x:c r="J23" s="215"/>
      <x:c r="K23" s="459" t="str">
        <x:f t="shared" si="6"/>
        <x:v/>
      </x:c>
      <x:c r="L23" s="459" t="str">
        <x:f t="shared" si="7"/>
        <x:v/>
      </x:c>
      <x:c r="M23" s="461" t="str">
        <x:f t="shared" si="8"/>
        <x:v/>
      </x:c>
      <x:c r="N23" s="460"/>
      <x:c r="O23" s="461">
        <x:f t="shared" si="9"/>
        <x:v>0</x:v>
      </x:c>
      <x:c r="P23" s="462"/>
      <x:c r="Q23" s="463">
        <x:f t="shared" si="10"/>
        <x:v>0</x:v>
      </x:c>
      <x:c r="R23" s="162" t="str">
        <x:f t="shared" si="11"/>
        <x:v>X</x:v>
      </x:c>
      <x:c r="S23" s="216"/>
      <x:c r="T23" s="327"/>
      <x:c r="U23" s="217"/>
      <x:c r="V23" s="203"/>
      <x:c r="W23" s="217"/>
      <x:c r="X23" s="217"/>
      <x:c r="Y23" s="162" t="str">
        <x:f t="shared" si="12"/>
        <x:v/>
      </x:c>
      <x:c r="Z23" s="45"/>
      <x:c r="AA23" s="471" t="str">
        <x:f t="shared" si="13"/>
        <x:v/>
      </x:c>
      <x:c r="AB23" s="471" t="str">
        <x:f t="shared" si="14"/>
        <x:v/>
      </x:c>
      <x:c r="AC23" s="471" t="str">
        <x:f t="shared" si="15"/>
        <x:v/>
      </x:c>
      <x:c r="AD23" s="471" t="str">
        <x:f t="shared" si="16"/>
        <x:v/>
      </x:c>
      <x:c r="AE23" s="46"/>
      <x:c r="AF23" s="471" t="str">
        <x:f t="shared" si="17"/>
        <x:v/>
      </x:c>
      <x:c r="AG23" s="471" t="str">
        <x:f t="shared" si="18"/>
        <x:v/>
      </x:c>
      <x:c r="AH23" s="471" t="str">
        <x:f t="shared" si="19"/>
        <x:v/>
      </x:c>
      <x:c r="AI23" s="471" t="str">
        <x:f t="shared" si="20"/>
        <x:v/>
      </x:c>
      <x:c r="AJ23" s="87"/>
      <x:c r="AK23" s="374" t="str">
        <x:f>IF($AQ23="","",IF(OR($AL23="",$AL23="도비"),"",CONCATENATE($AQ23,"-",COUNTIF($AQ$8:$AQ23,$AQ23))))</x:f>
        <x:v/>
      </x:c>
      <x:c r="AL23" s="374" t="str">
        <x:f t="shared" si="21"/>
        <x:v/>
      </x:c>
      <x:c r="AM23" s="87"/>
      <x:c r="AN23" s="375" t="str">
        <x:f>IF($AQ23="","",IF(OR($AO23="",$AO23="국비",$AO23="자체"),"",CONCATENATE($AQ23,"-",$AO23,"-",COUNTIF($AQ$8:$AQ23,$AQ23))))</x:f>
        <x:v/>
      </x:c>
      <x:c r="AO23" s="375" t="str">
        <x:f t="shared" si="22"/>
        <x:v/>
      </x:c>
      <x:c r="AP23" s="87"/>
      <x:c r="AQ23" s="374" t="str">
        <x:f t="array" ref="AQ23:AQ23">IF(OR($D23="",$C23="직접입력",$B23="직접입력"),"",INDEX(구분표!$I$2:$I$337,MATCH(1,(구분표!$G$2:$G$337='3. 일입'!$B23)*(구분표!$E$2:$E$337='3. 일입'!$C23)*(구분표!$F$2:$F$337='3. 일입'!$D23),0)))</x:f>
        <x:v/>
      </x:c>
      <x:c r="AR23" s="87"/>
      <x:c r="AS23" s="472" t="str">
        <x:f>IF($AK23="","",SUMIFS('3. 일출(의존)'!$AB$7:$AB$1989,'3. 일출(의존)'!$AN$7:$AN$1989,$AK23))</x:f>
        <x:v/>
      </x:c>
      <x:c r="AT23" s="377" t="str">
        <x:f>IF($AK23="","",COUNTIF('3. 일출(의존)'!$AN$7:$AN$1989,$AK23))</x:f>
        <x:v/>
      </x:c>
      <x:c r="AU23" s="374" t="str">
        <x:f t="shared" si="23"/>
        <x:v/>
      </x:c>
      <x:c r="AV23" s="472" t="str">
        <x:f>IF($AN23="","",IF($AO23="지역개발기금",SUMIFS('3. 일출(의존)'!$AE$8:$AE$2000,'3. 일출(의존)'!$AS$8:$AS$2000,$AN23)+SUMIFS('3. 일출(자체)'!$AE$8:$AE$2000,'3. 일출(자체)'!$AM$8:$AM$2000,$AN23),IF($AO23="지방채",SUMIFS('3. 일출(의존)'!$AD$8:$AD$2000,'3. 일출(의존)'!$AS$8:$AS$2000,$AN23)+SUMIFS('3. 일출(자체)'!$AD$8:$AD$2000,'3. 일출(자체)'!$AM$8:$AM$2000,$AN23),0)))</x:f>
        <x:v/>
      </x:c>
      <x:c r="AW23" s="377" t="str">
        <x:f>IF($AN23="","",COUNTIF('3. 일출(의존)'!$AS$8:$AS$2000,$AN23)+COUNTIF('3. 일출(자체)'!$AM$8:$AM$2000,$AN23))</x:f>
        <x:v/>
      </x:c>
      <x:c r="AX23" s="374" t="str">
        <x:f t="shared" si="24"/>
        <x:v/>
      </x:c>
      <x:c r="AY23" s="91"/>
      <x:c r="AZ23" s="472" t="str">
        <x:f>IF($AK23="","",SUMIFS('3. 일출(의존)'!$AH$8:$AH$1989,'3. 일출(의존)'!$AN$8:$AN$1989,$AK23))</x:f>
        <x:v/>
      </x:c>
      <x:c r="BA23" s="377" t="str">
        <x:f>IF($AK23="","",COUNTIF('3. 일출(의존)'!$AN$7:$AN$1989,$AK23))</x:f>
        <x:v/>
      </x:c>
      <x:c r="BB23" s="374" t="str">
        <x:f t="shared" si="25"/>
        <x:v/>
      </x:c>
      <x:c r="BC23" s="472" t="str">
        <x:f>IF($AN23="","",IF($AO23="지역개발기금",SUMIFS('3. 일출(의존)'!$AK$8:$AK$2000,'3. 일출(의존)'!$AS$8:$AS$2000,$AN23)+SUMIFS('3. 일출(자체)'!$AJ$8:$AJ$2000,'3. 일출(자체)'!$AM$8:$AM$2000,$AN23),IF($AO23="지방채",SUMIFS('3. 일출(의존)'!$AJ$8:$AJ$2000,'3. 일출(의존)'!$AS$8:$AS$2000,$AN23)+SUMIFS('3. 일출(자체)'!$AI$8:$AI$2000,'3. 일출(자체)'!$AM$8:$AM$2000,$AN23),0)))</x:f>
        <x:v/>
      </x:c>
      <x:c r="BD23" s="377" t="str">
        <x:f>IF($AN23="","",COUNTIF('3. 일출(의존)'!$AS$8:$AS$2000,$AN23)+COUNTIF('3. 일출(자체)'!$AM$8:$AM$2000,$AN23))</x:f>
        <x:v/>
      </x:c>
      <x:c r="BE23" s="374" t="str">
        <x:f t="shared" si="26"/>
        <x:v/>
      </x:c>
    </x:row>
    <x:row r="24" spans="1:57" s="20" customFormat="1" ht="80.099999999999994" customHeight="1">
      <x:c r="A24" s="155" t="str">
        <x:f>IF(D24="","",COUNTA($C$8:C24)-COUNTBLANK($C$8:C24)+1)</x:f>
        <x:v/>
      </x:c>
      <x:c r="B24" s="156" t="str">
        <x: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x:f>
        <x:v/>
      </x:c>
      <x:c r="C24" s="156" t="str">
        <x:f>IF(D24="","",IF(OR(D24="교육지원과",D24="총무과",D24="인사과"),"직접입력",VLOOKUP(D24,구분표!$A$3:$C$258,3,)))</x:f>
        <x:v/>
      </x:c>
      <x:c r="D24" s="219"/>
      <x:c r="E24" s="213"/>
      <x:c r="F24" s="388" t="str">
        <x:f t="shared" si="5"/>
        <x:v/>
      </x:c>
      <x:c r="G24" s="388" t="str">
        <x:f t="shared" si="5"/>
        <x:v/>
      </x:c>
      <x:c r="H24" s="213"/>
      <x:c r="I24" s="156" t="str">
        <x:f>IF(H24="","",VLOOKUP($H24,구분표!$O$3:$P$168,2,FALSE))</x:f>
        <x:v/>
      </x:c>
      <x:c r="J24" s="215"/>
      <x:c r="K24" s="459" t="str">
        <x:f t="shared" si="6"/>
        <x:v/>
      </x:c>
      <x:c r="L24" s="459" t="str">
        <x:f t="shared" si="7"/>
        <x:v/>
      </x:c>
      <x:c r="M24" s="461" t="str">
        <x:f t="shared" si="8"/>
        <x:v/>
      </x:c>
      <x:c r="N24" s="460"/>
      <x:c r="O24" s="461">
        <x:f t="shared" si="9"/>
        <x:v>0</x:v>
      </x:c>
      <x:c r="P24" s="462"/>
      <x:c r="Q24" s="463">
        <x:f t="shared" si="10"/>
        <x:v>0</x:v>
      </x:c>
      <x:c r="R24" s="162" t="str">
        <x:f t="shared" si="11"/>
        <x:v>X</x:v>
      </x:c>
      <x:c r="S24" s="216"/>
      <x:c r="T24" s="327"/>
      <x:c r="U24" s="217"/>
      <x:c r="V24" s="203"/>
      <x:c r="W24" s="217"/>
      <x:c r="X24" s="217"/>
      <x:c r="Y24" s="162" t="str">
        <x:f t="shared" si="12"/>
        <x:v/>
      </x:c>
      <x:c r="Z24" s="45"/>
      <x:c r="AA24" s="471" t="str">
        <x:f t="shared" si="13"/>
        <x:v/>
      </x:c>
      <x:c r="AB24" s="471" t="str">
        <x:f t="shared" si="14"/>
        <x:v/>
      </x:c>
      <x:c r="AC24" s="471" t="str">
        <x:f t="shared" si="15"/>
        <x:v/>
      </x:c>
      <x:c r="AD24" s="471" t="str">
        <x:f t="shared" si="16"/>
        <x:v/>
      </x:c>
      <x:c r="AE24" s="46"/>
      <x:c r="AF24" s="471" t="str">
        <x:f t="shared" si="17"/>
        <x:v/>
      </x:c>
      <x:c r="AG24" s="471" t="str">
        <x:f t="shared" si="18"/>
        <x:v/>
      </x:c>
      <x:c r="AH24" s="471" t="str">
        <x:f t="shared" si="19"/>
        <x:v/>
      </x:c>
      <x:c r="AI24" s="471" t="str">
        <x:f t="shared" si="20"/>
        <x:v/>
      </x:c>
      <x:c r="AJ24" s="87"/>
      <x:c r="AK24" s="374" t="str">
        <x:f>IF($AQ24="","",IF(OR($AL24="",$AL24="도비"),"",CONCATENATE($AQ24,"-",COUNTIF($AQ$8:$AQ24,$AQ24))))</x:f>
        <x:v/>
      </x:c>
      <x:c r="AL24" s="374" t="str">
        <x:f t="shared" si="21"/>
        <x:v/>
      </x:c>
      <x:c r="AM24" s="87"/>
      <x:c r="AN24" s="375" t="str">
        <x:f>IF($AQ24="","",IF(OR($AO24="",$AO24="국비",$AO24="자체"),"",CONCATENATE($AQ24,"-",$AO24,"-",COUNTIF($AQ$8:$AQ24,$AQ24))))</x:f>
        <x:v/>
      </x:c>
      <x:c r="AO24" s="375" t="str">
        <x:f t="shared" si="22"/>
        <x:v/>
      </x:c>
      <x:c r="AP24" s="87"/>
      <x:c r="AQ24" s="374" t="str">
        <x:f t="array" ref="AQ24:AQ24">IF(OR($D24="",$C24="직접입력",$B24="직접입력"),"",INDEX(구분표!$I$2:$I$337,MATCH(1,(구분표!$G$2:$G$337='3. 일입'!$B24)*(구분표!$E$2:$E$337='3. 일입'!$C24)*(구분표!$F$2:$F$337='3. 일입'!$D24),0)))</x:f>
        <x:v/>
      </x:c>
      <x:c r="AR24" s="87"/>
      <x:c r="AS24" s="472" t="str">
        <x:f>IF($AK24="","",SUMIFS('3. 일출(의존)'!$AB$7:$AB$1989,'3. 일출(의존)'!$AN$7:$AN$1989,$AK24))</x:f>
        <x:v/>
      </x:c>
      <x:c r="AT24" s="377" t="str">
        <x:f>IF($AK24="","",COUNTIF('3. 일출(의존)'!$AN$7:$AN$1989,$AK24))</x:f>
        <x:v/>
      </x:c>
      <x:c r="AU24" s="374" t="str">
        <x:f t="shared" si="23"/>
        <x:v/>
      </x:c>
      <x:c r="AV24" s="472" t="str">
        <x:f>IF($AN24="","",IF($AO24="지역개발기금",SUMIFS('3. 일출(의존)'!$AE$8:$AE$2000,'3. 일출(의존)'!$AS$8:$AS$2000,$AN24)+SUMIFS('3. 일출(자체)'!$AE$8:$AE$2000,'3. 일출(자체)'!$AM$8:$AM$2000,$AN24),IF($AO24="지방채",SUMIFS('3. 일출(의존)'!$AD$8:$AD$2000,'3. 일출(의존)'!$AS$8:$AS$2000,$AN24)+SUMIFS('3. 일출(자체)'!$AD$8:$AD$2000,'3. 일출(자체)'!$AM$8:$AM$2000,$AN24),0)))</x:f>
        <x:v/>
      </x:c>
      <x:c r="AW24" s="377" t="str">
        <x:f>IF($AN24="","",COUNTIF('3. 일출(의존)'!$AS$8:$AS$2000,$AN24)+COUNTIF('3. 일출(자체)'!$AM$8:$AM$2000,$AN24))</x:f>
        <x:v/>
      </x:c>
      <x:c r="AX24" s="374" t="str">
        <x:f t="shared" si="24"/>
        <x:v/>
      </x:c>
      <x:c r="AY24" s="91"/>
      <x:c r="AZ24" s="472" t="str">
        <x:f>IF($AK24="","",SUMIFS('3. 일출(의존)'!$AH$8:$AH$1989,'3. 일출(의존)'!$AN$8:$AN$1989,$AK24))</x:f>
        <x:v/>
      </x:c>
      <x:c r="BA24" s="377" t="str">
        <x:f>IF($AK24="","",COUNTIF('3. 일출(의존)'!$AN$7:$AN$1989,$AK24))</x:f>
        <x:v/>
      </x:c>
      <x:c r="BB24" s="374" t="str">
        <x:f t="shared" si="25"/>
        <x:v/>
      </x:c>
      <x:c r="BC24" s="472" t="str">
        <x:f>IF($AN24="","",IF($AO24="지역개발기금",SUMIFS('3. 일출(의존)'!$AK$8:$AK$2000,'3. 일출(의존)'!$AS$8:$AS$2000,$AN24)+SUMIFS('3. 일출(자체)'!$AJ$8:$AJ$2000,'3. 일출(자체)'!$AM$8:$AM$2000,$AN24),IF($AO24="지방채",SUMIFS('3. 일출(의존)'!$AJ$8:$AJ$2000,'3. 일출(의존)'!$AS$8:$AS$2000,$AN24)+SUMIFS('3. 일출(자체)'!$AI$8:$AI$2000,'3. 일출(자체)'!$AM$8:$AM$2000,$AN24),0)))</x:f>
        <x:v/>
      </x:c>
      <x:c r="BD24" s="377" t="str">
        <x:f>IF($AN24="","",COUNTIF('3. 일출(의존)'!$AS$8:$AS$2000,$AN24)+COUNTIF('3. 일출(자체)'!$AM$8:$AM$2000,$AN24))</x:f>
        <x:v/>
      </x:c>
      <x:c r="BE24" s="374" t="str">
        <x:f t="shared" si="26"/>
        <x:v/>
      </x:c>
    </x:row>
    <x:row r="25" spans="1:57" ht="60" customHeight="1">
      <x:c r="A25" s="210"/>
      <x:c r="B25" s="888" t="s">
        <x:v>1524</x:v>
      </x:c>
      <x:c r="C25" s="888"/>
      <x:c r="D25" s="888"/>
      <x:c r="E25" s="888"/>
      <x:c r="F25" s="888"/>
      <x:c r="G25" s="888"/>
      <x:c r="H25" s="210"/>
      <x:c r="I25" s="79"/>
      <x:c r="J25" s="409" t="str">
        <x:f>SUBTOTAL(3,J26:J41)&amp;"건"</x:f>
        <x:v>0건</x:v>
      </x:c>
      <x:c r="K25" s="458">
        <x:f t="shared" ref="K25:L25" si="27">SUBTOTAL(9,K26:K41)</x:f>
        <x:v>0</x:v>
      </x:c>
      <x:c r="L25" s="458">
        <x:f t="shared" si="27"/>
        <x:v>0</x:v>
      </x:c>
      <x:c r="M25" s="458">
        <x:f t="shared" ref="M25:Q25" si="28">SUBTOTAL(9,M26:M41)</x:f>
        <x:v>0</x:v>
      </x:c>
      <x:c r="N25" s="458">
        <x:f t="shared" si="28"/>
        <x:v>0</x:v>
      </x:c>
      <x:c r="O25" s="458">
        <x:f t="shared" si="28"/>
        <x:v>0</x:v>
      </x:c>
      <x:c r="P25" s="458">
        <x:f t="shared" si="28"/>
        <x:v>0</x:v>
      </x:c>
      <x:c r="Q25" s="458">
        <x:f t="shared" si="28"/>
        <x:v>0</x:v>
      </x:c>
      <x:c r="R25" s="78"/>
      <x:c r="S25" s="78"/>
      <x:c r="T25" s="78"/>
      <x:c r="U25" s="78"/>
      <x:c r="V25" s="78"/>
      <x:c r="W25" s="78"/>
      <x:c r="X25" s="78"/>
      <x:c r="Y25" s="80"/>
      <x:c r="Z25" s="43"/>
      <x:c r="AA25" s="470">
        <x:f>SUBTOTAL(9,AA26:AA41)</x:f>
        <x:v>0</x:v>
      </x:c>
      <x:c r="AB25" s="470">
        <x:f t="shared" ref="AB25:AD25" si="29">SUBTOTAL(9,AB26:AB41)</x:f>
        <x:v>0</x:v>
      </x:c>
      <x:c r="AC25" s="470">
        <x:f t="shared" si="29"/>
        <x:v>0</x:v>
      </x:c>
      <x:c r="AD25" s="470">
        <x:f t="shared" si="29"/>
        <x:v>0</x:v>
      </x:c>
      <x:c r="AE25" s="166"/>
      <x:c r="AF25" s="470">
        <x:f>SUBTOTAL(9,AF26:AF41)</x:f>
        <x:v>0</x:v>
      </x:c>
      <x:c r="AG25" s="470">
        <x:f t="shared" ref="AG25:AI25" si="30">SUBTOTAL(9,AG26:AG41)</x:f>
        <x:v>0</x:v>
      </x:c>
      <x:c r="AH25" s="470">
        <x:f t="shared" si="30"/>
        <x:v>0</x:v>
      </x:c>
      <x:c r="AI25" s="470">
        <x:f t="shared" si="30"/>
        <x:v>0</x:v>
      </x:c>
      <x:c r="AJ25" s="53"/>
      <x:c r="AK25" s="80"/>
      <x:c r="AL25" s="80"/>
      <x:c r="AM25" s="53"/>
      <x:c r="AN25" s="80"/>
      <x:c r="AO25" s="80"/>
      <x:c r="AP25" s="53"/>
      <x:c r="AQ25" s="80"/>
      <x:c r="AR25" s="53"/>
      <x:c r="AS25" s="470">
        <x:f>SUBTOTAL(9,AS26:AS41)</x:f>
        <x:v>0</x:v>
      </x:c>
      <x:c r="AT25" s="470">
        <x:f>SUBTOTAL(9,AT26:AT41)</x:f>
        <x:v>0</x:v>
      </x:c>
      <x:c r="AU25" s="554" t="str">
        <x:f>IF(COUNTIF(AU26:AU41,"@@")&gt;0,"@@","OK")</x:f>
        <x:v>OK</x:v>
      </x:c>
      <x:c r="AV25" s="470">
        <x:f>SUBTOTAL(9,AV26:AV41)</x:f>
        <x:v>0</x:v>
      </x:c>
      <x:c r="AW25" s="470">
        <x:f>SUBTOTAL(9,AW26:AW41)</x:f>
        <x:v>0</x:v>
      </x:c>
      <x:c r="AX25" s="554" t="str">
        <x:f>IF(COUNTIF(AX26:AX41,"@@")&gt;0,"@@","OK")</x:f>
        <x:v>OK</x:v>
      </x:c>
      <x:c r="AY25" s="53"/>
      <x:c r="AZ25" s="470">
        <x:f>SUBTOTAL(9,AZ26:AZ41)</x:f>
        <x:v>0</x:v>
      </x:c>
      <x:c r="BA25" s="470">
        <x:f>SUBTOTAL(9,BA26:BA41)</x:f>
        <x:v>0</x:v>
      </x:c>
      <x:c r="BB25" s="554" t="str">
        <x:f>IF(COUNTIF(BB26:BB41,"@@")&gt;0,"@@","OK")</x:f>
        <x:v>OK</x:v>
      </x:c>
      <x:c r="BC25" s="470">
        <x:f>SUBTOTAL(9,BC26:BC41)</x:f>
        <x:v>0</x:v>
      </x:c>
      <x:c r="BD25" s="470">
        <x:f>SUBTOTAL(9,BD26:BD41)</x:f>
        <x:v>0</x:v>
      </x:c>
      <x:c r="BE25" s="554" t="str">
        <x:f>IF(COUNTIF(BE26:BE41,"@@")&gt;0,"@@","OK")</x:f>
        <x:v>OK</x:v>
      </x:c>
    </x:row>
    <x:row r="26" spans="1:57" s="20" customFormat="1" ht="80.099999999999994" customHeight="1">
      <x:c r="A26" s="155" t="str">
        <x:f>IF(D26="","",COUNTA($C$8:C26)-COUNTBLANK($C$8:C26)+2)</x:f>
        <x:v/>
      </x:c>
      <x:c r="B26" s="156" t="str">
        <x: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x:f>
        <x:v/>
      </x:c>
      <x:c r="C26" s="156" t="str">
        <x:f>IF(D26="","",IF(OR(D26="교육지원과",D26="총무과",D26="인사과"),"직접입력",VLOOKUP(D26,구분표!$A$3:$C$258,3,)))</x:f>
        <x:v/>
      </x:c>
      <x:c r="D26" s="219"/>
      <x:c r="E26" s="213"/>
      <x:c r="F26" s="388" t="str">
        <x:f>IF($E26="","",IF($E26="2추","직접입력","-"))</x:f>
        <x:v/>
      </x:c>
      <x:c r="G26" s="388" t="str">
        <x:f>IF($E26="","",IF($E26="2추","직접입력","-"))</x:f>
        <x:v/>
      </x:c>
      <x:c r="H26" s="213"/>
      <x:c r="I26" s="156" t="str">
        <x:f>IF(H26="","",VLOOKUP($H26,구분표!$O$3:$P$168,2,FALSE))</x:f>
        <x:v/>
      </x:c>
      <x:c r="J26" s="215"/>
      <x:c r="K26" s="459" t="str">
        <x:f>IF($E26="","",IF(OR($E26="2추",$E26="1추",$E26="본예산"),"금액입력","-"))</x:f>
        <x:v/>
      </x:c>
      <x:c r="L26" s="459" t="str">
        <x:f>IF($E26="","",IF($E26="2추","금액입력","-"))</x:f>
        <x:v/>
      </x:c>
      <x:c r="M26" s="461" t="str">
        <x:f t="shared" ref="M26:M41" si="31">IF($E26="","",SUM(K26:L26))</x:f>
        <x:v/>
      </x:c>
      <x:c r="N26" s="460"/>
      <x:c r="O26" s="461">
        <x:f t="shared" ref="O26:O41" si="32">SUM(M26:N26)</x:f>
        <x:v>0</x:v>
      </x:c>
      <x:c r="P26" s="462"/>
      <x:c r="Q26" s="463">
        <x:f t="shared" ref="Q26:Q41" si="33">SUM(M26,P26)</x:f>
        <x:v>0</x:v>
      </x:c>
      <x:c r="R26" s="162" t="str">
        <x:f t="shared" ref="R26:R41" si="34">IF(AND((O26=0),(Q26&gt;0)),"O",IF(AND((N26&lt;0),(O26-Q26&lt;0)),"O","X"))</x:f>
        <x:v>X</x:v>
      </x:c>
      <x:c r="S26" s="216"/>
      <x:c r="T26" s="327"/>
      <x:c r="U26" s="217"/>
      <x:c r="V26" s="203"/>
      <x:c r="W26" s="217"/>
      <x:c r="X26" s="217"/>
      <x:c r="Y26" s="162" t="str">
        <x:f t="shared" ref="Y26:Y41" si="35">IF($H26="","",IF(OR($H26="511-01",$H26="511-02",$H26="511-03",$H26="311-02",$H26="311-04",$H26="321-01"),"국비","도비"))</x:f>
        <x:v/>
      </x:c>
      <x:c r="Z26" s="45"/>
      <x:c r="AA26" s="471" t="str">
        <x:f t="shared" ref="AA26:AA41" si="36">IF($Y26="국비",IF($N26&lt;&gt;"",$N26,0),"")</x:f>
        <x:v/>
      </x:c>
      <x:c r="AB26" s="471" t="str">
        <x:f t="shared" ref="AB26:AB41" si="37">IF($Y26="도비",IF($AO26="자체",IF($N26&lt;&gt;"",$N26,0),""),"")</x:f>
        <x:v/>
      </x:c>
      <x:c r="AC26" s="471" t="str">
        <x:f t="shared" ref="AC26:AC41" si="38">IF($Y26="도비",IF($AO26="지방채",IF($N26&lt;&gt;"",$N26,0),""),"")</x:f>
        <x:v/>
      </x:c>
      <x:c r="AD26" s="471" t="str">
        <x:f t="shared" ref="AD26:AD41" si="39">IF($Y26="도비",IF($AO26="지역개발기금",IF($N26&lt;&gt;"",$N26,0),""),"")</x:f>
        <x:v/>
      </x:c>
      <x:c r="AE26" s="46"/>
      <x:c r="AF26" s="471" t="str">
        <x:f t="shared" ref="AF26:AF41" si="40">IF($Y26="국비",IF($P26&lt;&gt;"",$P26,0),"")</x:f>
        <x:v/>
      </x:c>
      <x:c r="AG26" s="471" t="str">
        <x:f t="shared" ref="AG26:AG41" si="41">IF($Y26="도비",IF($AO26="자체",IF($P26&lt;&gt;"",$P26,0),""),"")</x:f>
        <x:v/>
      </x:c>
      <x:c r="AH26" s="471" t="str">
        <x:f t="shared" ref="AH26:AH41" si="42">IF($Y26="도비",IF($AO26="지방채",IF($P26&lt;&gt;"",$P26,0),""),"")</x:f>
        <x:v/>
      </x:c>
      <x:c r="AI26" s="471" t="str">
        <x:f t="shared" ref="AI26:AI41" si="43">IF($Y26="도비",IF($AO26="지역개발기금",IF($P26&lt;&gt;"",$P26,0),""),"")</x:f>
        <x:v/>
      </x:c>
      <x:c r="AJ26" s="87"/>
      <x:c r="AK26" s="374" t="str">
        <x:f>IF($AQ26="","",IF(OR($AL26="",$AL26="도비"),"",CONCATENATE($AQ26,"-",COUNTIF($AQ$8:$AQ26,$AQ26))))</x:f>
        <x:v/>
      </x:c>
      <x:c r="AL26" s="374" t="str">
        <x:f t="shared" ref="AL26:AL41" si="44">IF($H26="","",IF($H26="511-01","국비",IF($H26="511-02","균특",IF($H26="511-03","기금",IF($H26="311-02","특교",IF($H26="311-04","소교",IF($H26="321-01","소멸","도비")))))))</x:f>
        <x:v/>
      </x:c>
      <x:c r="AM26" s="87"/>
      <x:c r="AN26" s="375" t="str">
        <x:f>IF($AQ26="","",IF(OR($AO26="",$AO26="국비",$AO26="자체"),"",CONCATENATE($AQ26,"-",$AO26,"-",COUNTIF($AQ$8:$AQ26,$AQ26))))</x:f>
        <x:v/>
      </x:c>
      <x:c r="AO26" s="375" t="str">
        <x:f t="shared" ref="AO26:AO41" si="45">IF($Y26="","",IF($Y26="국비","국비",IF($H26="612-01","지방채",IF($H26="722-02","지역개발기금","자체"))))</x:f>
        <x:v/>
      </x:c>
      <x:c r="AP26" s="87"/>
      <x:c r="AQ26" s="374" t="str">
        <x:f t="array" ref="AQ26:AQ26">IF(OR($D26="",$C26="직접입력",$B26="직접입력"),"",INDEX(구분표!$I$2:$I$337,MATCH(1,(구분표!$G$2:$G$337='3. 일입'!$B26)*(구분표!$E$2:$E$337='3. 일입'!$C26)*(구분표!$F$2:$F$337='3. 일입'!$D26),0)))</x:f>
        <x:v/>
      </x:c>
      <x:c r="AR26" s="87"/>
      <x:c r="AS26" s="472" t="str">
        <x:f>IF($AK26="","",SUMIFS('3. 일출(의존)'!$AB$7:$AB$1989,'3. 일출(의존)'!$AN$7:$AN$1989,$AK26))</x:f>
        <x:v/>
      </x:c>
      <x:c r="AT26" s="377" t="str">
        <x:f>IF($AK26="","",COUNTIF('3. 일출(의존)'!$AN$7:$AN$1989,$AK26))</x:f>
        <x:v/>
      </x:c>
      <x:c r="AU26" s="374" t="str">
        <x:f t="shared" ref="AU26:AU41" si="46">IF($AK26="","",IF($AA26=$AS26,"OK","@@"))</x:f>
        <x:v/>
      </x:c>
      <x:c r="AV26" s="472" t="str">
        <x:f>IF($AN26="","",IF($AO26="지역개발기금",SUMIFS('3. 일출(의존)'!$AE$8:$AE$2000,'3. 일출(의존)'!$AS$8:$AS$2000,$AN26)+SUMIFS('3. 일출(자체)'!$AE$8:$AE$2000,'3. 일출(자체)'!$AM$8:$AM$2000,$AN26),IF($AO26="지방채",SUMIFS('3. 일출(의존)'!$AD$8:$AD$2000,'3. 일출(의존)'!$AS$8:$AS$2000,$AN26)+SUMIFS('3. 일출(자체)'!$AD$8:$AD$2000,'3. 일출(자체)'!$AM$8:$AM$2000,$AN26),0)))</x:f>
        <x:v/>
      </x:c>
      <x:c r="AW26" s="377" t="str">
        <x:f>IF($AN26="","",COUNTIF('3. 일출(의존)'!$AS$8:$AS$2000,$AN26)+COUNTIF('3. 일출(자체)'!$AM$8:$AM$2000,$AN26))</x:f>
        <x:v/>
      </x:c>
      <x:c r="AX26" s="374" t="str">
        <x:f t="shared" ref="AX26:AX41" si="47">IF($AN26="","",IF($AO26="자체","",IF($AO26="지방채",IF($AC26=$AV26,"OK","@@"),IF($AO26="지역개발기금",IF($AD26=$AV26,"OK","@@"),"@@"))))</x:f>
        <x:v/>
      </x:c>
      <x:c r="AY26" s="91"/>
      <x:c r="AZ26" s="472" t="str">
        <x:f>IF($AK26="","",SUMIFS('3. 일출(의존)'!$AH$8:$AH$1989,'3. 일출(의존)'!$AN$8:$AN$1989,$AK26))</x:f>
        <x:v/>
      </x:c>
      <x:c r="BA26" s="377" t="str">
        <x:f>IF($AK26="","",COUNTIF('3. 일출(의존)'!$AN$7:$AN$1989,$AK26))</x:f>
        <x:v/>
      </x:c>
      <x:c r="BB26" s="374" t="str">
        <x:f t="shared" ref="BB26:BB41" si="48">IF($AK26="","",IF($AF26=$AZ26,"OK","@@"))</x:f>
        <x:v/>
      </x:c>
      <x:c r="BC26" s="472" t="str">
        <x:f>IF($AN26="","",IF($AO26="지역개발기금",SUMIFS('3. 일출(의존)'!$AK$8:$AK$2000,'3. 일출(의존)'!$AS$8:$AS$2000,$AN26)+SUMIFS('3. 일출(자체)'!$AJ$8:$AJ$2000,'3. 일출(자체)'!$AM$8:$AM$2000,$AN26),IF($AO26="지방채",SUMIFS('3. 일출(의존)'!$AJ$8:$AJ$2000,'3. 일출(의존)'!$AS$8:$AS$2000,$AN26)+SUMIFS('3. 일출(자체)'!$AI$8:$AI$2000,'3. 일출(자체)'!$AM$8:$AM$2000,$AN26),0)))</x:f>
        <x:v/>
      </x:c>
      <x:c r="BD26" s="377" t="str">
        <x:f>IF($AN26="","",COUNTIF('3. 일출(의존)'!$AS$8:$AS$2000,$AN26)+COUNTIF('3. 일출(자체)'!$AM$8:$AM$2000,$AN26))</x:f>
        <x:v/>
      </x:c>
      <x:c r="BE26" s="374" t="str">
        <x:f t="shared" ref="BE26:BE41" si="49">IF($AN26="","",IF($AO26="자체","",IF($AO26="지방채",IF($AH26=$BC26,"OK","@@"),IF($AO26="지역개발기금",IF($AI26=$BC26,"OK","@@"),"@@"))))</x:f>
        <x:v/>
      </x:c>
    </x:row>
    <x:row r="27" spans="1:57" s="20" customFormat="1" ht="80.099999999999994" customHeight="1">
      <x:c r="A27" s="155" t="str">
        <x:f>IF(D27="","",COUNTA($C$8:C27)-COUNTBLANK($C$8:C27)+2)</x:f>
        <x:v/>
      </x:c>
      <x:c r="B27" s="156" t="str">
        <x: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x:f>
        <x:v/>
      </x:c>
      <x:c r="C27" s="156" t="str">
        <x:f>IF(D27="","",IF(OR(D27="교육지원과",D27="총무과",D27="인사과"),"직접입력",VLOOKUP(D27,구분표!$A$3:$C$258,3,)))</x:f>
        <x:v/>
      </x:c>
      <x:c r="D27" s="219"/>
      <x:c r="E27" s="213"/>
      <x:c r="F27" s="388" t="str">
        <x:f t="shared" ref="F27:G41" si="50">IF($E27="","",IF($E27="2추","직접입력","-"))</x:f>
        <x:v/>
      </x:c>
      <x:c r="G27" s="388" t="str">
        <x:f t="shared" si="50"/>
        <x:v/>
      </x:c>
      <x:c r="H27" s="213"/>
      <x:c r="I27" s="156" t="str">
        <x:f>IF(H27="","",VLOOKUP($H27,구분표!$O$3:$P$168,2,FALSE))</x:f>
        <x:v/>
      </x:c>
      <x:c r="J27" s="215"/>
      <x:c r="K27" s="459" t="str">
        <x:f t="shared" ref="K27:K41" si="51">IF($E27="","",IF(OR($E27="2추",$E27="1추",$E27="본예산"),"금액입력","-"))</x:f>
        <x:v/>
      </x:c>
      <x:c r="L27" s="459" t="str">
        <x:f t="shared" ref="L27:L41" si="52">IF($E27="","",IF($E27="2추","금액입력","-"))</x:f>
        <x:v/>
      </x:c>
      <x:c r="M27" s="461" t="str">
        <x:f t="shared" si="31"/>
        <x:v/>
      </x:c>
      <x:c r="N27" s="460"/>
      <x:c r="O27" s="461">
        <x:f t="shared" si="32"/>
        <x:v>0</x:v>
      </x:c>
      <x:c r="P27" s="462"/>
      <x:c r="Q27" s="463">
        <x:f t="shared" si="33"/>
        <x:v>0</x:v>
      </x:c>
      <x:c r="R27" s="162" t="str">
        <x:f t="shared" si="34"/>
        <x:v>X</x:v>
      </x:c>
      <x:c r="S27" s="216"/>
      <x:c r="T27" s="327"/>
      <x:c r="U27" s="217"/>
      <x:c r="V27" s="203"/>
      <x:c r="W27" s="217"/>
      <x:c r="X27" s="217"/>
      <x:c r="Y27" s="162" t="str">
        <x:f t="shared" si="35"/>
        <x:v/>
      </x:c>
      <x:c r="Z27" s="45"/>
      <x:c r="AA27" s="471" t="str">
        <x:f t="shared" si="36"/>
        <x:v/>
      </x:c>
      <x:c r="AB27" s="471" t="str">
        <x:f t="shared" si="37"/>
        <x:v/>
      </x:c>
      <x:c r="AC27" s="471" t="str">
        <x:f t="shared" si="38"/>
        <x:v/>
      </x:c>
      <x:c r="AD27" s="471" t="str">
        <x:f t="shared" si="39"/>
        <x:v/>
      </x:c>
      <x:c r="AE27" s="46"/>
      <x:c r="AF27" s="471" t="str">
        <x:f t="shared" si="40"/>
        <x:v/>
      </x:c>
      <x:c r="AG27" s="471" t="str">
        <x:f t="shared" si="41"/>
        <x:v/>
      </x:c>
      <x:c r="AH27" s="471" t="str">
        <x:f t="shared" si="42"/>
        <x:v/>
      </x:c>
      <x:c r="AI27" s="471" t="str">
        <x:f t="shared" si="43"/>
        <x:v/>
      </x:c>
      <x:c r="AJ27" s="87"/>
      <x:c r="AK27" s="374" t="str">
        <x:f>IF($AQ27="","",IF(OR($AL27="",$AL27="도비"),"",CONCATENATE($AQ27,"-",COUNTIF($AQ$8:$AQ27,$AQ27))))</x:f>
        <x:v/>
      </x:c>
      <x:c r="AL27" s="374" t="str">
        <x:f t="shared" si="44"/>
        <x:v/>
      </x:c>
      <x:c r="AM27" s="87"/>
      <x:c r="AN27" s="375" t="str">
        <x:f>IF($AQ27="","",IF(OR($AO27="",$AO27="국비",$AO27="자체"),"",CONCATENATE($AQ27,"-",$AO27,"-",COUNTIF($AQ$8:$AQ27,$AQ27))))</x:f>
        <x:v/>
      </x:c>
      <x:c r="AO27" s="375" t="str">
        <x:f t="shared" si="45"/>
        <x:v/>
      </x:c>
      <x:c r="AP27" s="87"/>
      <x:c r="AQ27" s="374" t="str">
        <x:f t="array" ref="AQ27:AQ27">IF(OR($D27="",$C27="직접입력",$B27="직접입력"),"",INDEX(구분표!$I$2:$I$337,MATCH(1,(구분표!$G$2:$G$337='3. 일입'!$B27)*(구분표!$E$2:$E$337='3. 일입'!$C27)*(구분표!$F$2:$F$337='3. 일입'!$D27),0)))</x:f>
        <x:v/>
      </x:c>
      <x:c r="AR27" s="87"/>
      <x:c r="AS27" s="472" t="str">
        <x:f>IF($AK27="","",SUMIFS('3. 일출(의존)'!$AB$7:$AB$1989,'3. 일출(의존)'!$AN$7:$AN$1989,$AK27))</x:f>
        <x:v/>
      </x:c>
      <x:c r="AT27" s="377" t="str">
        <x:f>IF($AK27="","",COUNTIF('3. 일출(의존)'!$AN$7:$AN$1989,$AK27))</x:f>
        <x:v/>
      </x:c>
      <x:c r="AU27" s="374" t="str">
        <x:f t="shared" si="46"/>
        <x:v/>
      </x:c>
      <x:c r="AV27" s="472" t="str">
        <x:f>IF($AN27="","",IF($AO27="지역개발기금",SUMIFS('3. 일출(의존)'!$AE$8:$AE$2000,'3. 일출(의존)'!$AS$8:$AS$2000,$AN27)+SUMIFS('3. 일출(자체)'!$AE$8:$AE$2000,'3. 일출(자체)'!$AM$8:$AM$2000,$AN27),IF($AO27="지방채",SUMIFS('3. 일출(의존)'!$AD$8:$AD$2000,'3. 일출(의존)'!$AS$8:$AS$2000,$AN27)+SUMIFS('3. 일출(자체)'!$AD$8:$AD$2000,'3. 일출(자체)'!$AM$8:$AM$2000,$AN27),0)))</x:f>
        <x:v/>
      </x:c>
      <x:c r="AW27" s="377" t="str">
        <x:f>IF($AN27="","",COUNTIF('3. 일출(의존)'!$AS$8:$AS$2000,$AN27)+COUNTIF('3. 일출(자체)'!$AM$8:$AM$2000,$AN27))</x:f>
        <x:v/>
      </x:c>
      <x:c r="AX27" s="374" t="str">
        <x:f t="shared" si="47"/>
        <x:v/>
      </x:c>
      <x:c r="AY27" s="91"/>
      <x:c r="AZ27" s="472" t="str">
        <x:f>IF($AK27="","",SUMIFS('3. 일출(의존)'!$AH$8:$AH$1989,'3. 일출(의존)'!$AN$8:$AN$1989,$AK27))</x:f>
        <x:v/>
      </x:c>
      <x:c r="BA27" s="377" t="str">
        <x:f>IF($AK27="","",COUNTIF('3. 일출(의존)'!$AN$7:$AN$1989,$AK27))</x:f>
        <x:v/>
      </x:c>
      <x:c r="BB27" s="374" t="str">
        <x:f t="shared" si="48"/>
        <x:v/>
      </x:c>
      <x:c r="BC27" s="472" t="str">
        <x:f>IF($AN27="","",IF($AO27="지역개발기금",SUMIFS('3. 일출(의존)'!$AK$8:$AK$2000,'3. 일출(의존)'!$AS$8:$AS$2000,$AN27)+SUMIFS('3. 일출(자체)'!$AJ$8:$AJ$2000,'3. 일출(자체)'!$AM$8:$AM$2000,$AN27),IF($AO27="지방채",SUMIFS('3. 일출(의존)'!$AJ$8:$AJ$2000,'3. 일출(의존)'!$AS$8:$AS$2000,$AN27)+SUMIFS('3. 일출(자체)'!$AI$8:$AI$2000,'3. 일출(자체)'!$AM$8:$AM$2000,$AN27),0)))</x:f>
        <x:v/>
      </x:c>
      <x:c r="BD27" s="377" t="str">
        <x:f>IF($AN27="","",COUNTIF('3. 일출(의존)'!$AS$8:$AS$2000,$AN27)+COUNTIF('3. 일출(자체)'!$AM$8:$AM$2000,$AN27))</x:f>
        <x:v/>
      </x:c>
      <x:c r="BE27" s="374" t="str">
        <x:f t="shared" si="49"/>
        <x:v/>
      </x:c>
    </x:row>
    <x:row r="28" spans="1:57" s="20" customFormat="1" ht="80.099999999999994" customHeight="1">
      <x:c r="A28" s="155" t="str">
        <x:f>IF(D28="","",COUNTA($C$8:C28)-COUNTBLANK($C$8:C28)+2)</x:f>
        <x:v/>
      </x:c>
      <x:c r="B28" s="156" t="str">
        <x: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x:f>
        <x:v/>
      </x:c>
      <x:c r="C28" s="156" t="str">
        <x:f>IF(D28="","",IF(OR(D28="교육지원과",D28="총무과",D28="인사과"),"직접입력",VLOOKUP(D28,구분표!$A$3:$C$258,3,)))</x:f>
        <x:v/>
      </x:c>
      <x:c r="D28" s="219"/>
      <x:c r="E28" s="213"/>
      <x:c r="F28" s="388" t="str">
        <x:f t="shared" si="50"/>
        <x:v/>
      </x:c>
      <x:c r="G28" s="388" t="str">
        <x:f t="shared" si="50"/>
        <x:v/>
      </x:c>
      <x:c r="H28" s="213"/>
      <x:c r="I28" s="156" t="str">
        <x:f>IF(H28="","",VLOOKUP($H28,구분표!$O$3:$P$168,2,FALSE))</x:f>
        <x:v/>
      </x:c>
      <x:c r="J28" s="215"/>
      <x:c r="K28" s="459" t="str">
        <x:f t="shared" si="51"/>
        <x:v/>
      </x:c>
      <x:c r="L28" s="459" t="str">
        <x:f t="shared" si="52"/>
        <x:v/>
      </x:c>
      <x:c r="M28" s="461" t="str">
        <x:f t="shared" si="31"/>
        <x:v/>
      </x:c>
      <x:c r="N28" s="460"/>
      <x:c r="O28" s="461">
        <x:f t="shared" si="32"/>
        <x:v>0</x:v>
      </x:c>
      <x:c r="P28" s="462"/>
      <x:c r="Q28" s="463">
        <x:f t="shared" si="33"/>
        <x:v>0</x:v>
      </x:c>
      <x:c r="R28" s="162" t="str">
        <x:f t="shared" si="34"/>
        <x:v>X</x:v>
      </x:c>
      <x:c r="S28" s="216"/>
      <x:c r="T28" s="327"/>
      <x:c r="U28" s="217"/>
      <x:c r="V28" s="203"/>
      <x:c r="W28" s="217"/>
      <x:c r="X28" s="217"/>
      <x:c r="Y28" s="162" t="str">
        <x:f t="shared" si="35"/>
        <x:v/>
      </x:c>
      <x:c r="Z28" s="45"/>
      <x:c r="AA28" s="471" t="str">
        <x:f t="shared" si="36"/>
        <x:v/>
      </x:c>
      <x:c r="AB28" s="471" t="str">
        <x:f t="shared" si="37"/>
        <x:v/>
      </x:c>
      <x:c r="AC28" s="471" t="str">
        <x:f t="shared" si="38"/>
        <x:v/>
      </x:c>
      <x:c r="AD28" s="471" t="str">
        <x:f t="shared" si="39"/>
        <x:v/>
      </x:c>
      <x:c r="AE28" s="46"/>
      <x:c r="AF28" s="471" t="str">
        <x:f t="shared" si="40"/>
        <x:v/>
      </x:c>
      <x:c r="AG28" s="471" t="str">
        <x:f t="shared" si="41"/>
        <x:v/>
      </x:c>
      <x:c r="AH28" s="471" t="str">
        <x:f t="shared" si="42"/>
        <x:v/>
      </x:c>
      <x:c r="AI28" s="471" t="str">
        <x:f t="shared" si="43"/>
        <x:v/>
      </x:c>
      <x:c r="AJ28" s="87"/>
      <x:c r="AK28" s="374" t="str">
        <x:f>IF($AQ28="","",IF(OR($AL28="",$AL28="도비"),"",CONCATENATE($AQ28,"-",COUNTIF($AQ$8:$AQ28,$AQ28))))</x:f>
        <x:v/>
      </x:c>
      <x:c r="AL28" s="374" t="str">
        <x:f t="shared" si="44"/>
        <x:v/>
      </x:c>
      <x:c r="AM28" s="87"/>
      <x:c r="AN28" s="375" t="str">
        <x:f>IF($AQ28="","",IF(OR($AO28="",$AO28="국비",$AO28="자체"),"",CONCATENATE($AQ28,"-",$AO28,"-",COUNTIF($AQ$8:$AQ28,$AQ28))))</x:f>
        <x:v/>
      </x:c>
      <x:c r="AO28" s="375" t="str">
        <x:f t="shared" si="45"/>
        <x:v/>
      </x:c>
      <x:c r="AP28" s="87"/>
      <x:c r="AQ28" s="374" t="str">
        <x:f t="array" ref="AQ28:AQ28">IF(OR($D28="",$C28="직접입력",$B28="직접입력"),"",INDEX(구분표!$I$2:$I$337,MATCH(1,(구분표!$G$2:$G$337='3. 일입'!$B28)*(구분표!$E$2:$E$337='3. 일입'!$C28)*(구분표!$F$2:$F$337='3. 일입'!$D28),0)))</x:f>
        <x:v/>
      </x:c>
      <x:c r="AR28" s="87"/>
      <x:c r="AS28" s="472" t="str">
        <x:f>IF($AK28="","",SUMIFS('3. 일출(의존)'!$AB$7:$AB$1989,'3. 일출(의존)'!$AN$7:$AN$1989,$AK28))</x:f>
        <x:v/>
      </x:c>
      <x:c r="AT28" s="377" t="str">
        <x:f>IF($AK28="","",COUNTIF('3. 일출(의존)'!$AN$7:$AN$1989,$AK28))</x:f>
        <x:v/>
      </x:c>
      <x:c r="AU28" s="374" t="str">
        <x:f t="shared" si="46"/>
        <x:v/>
      </x:c>
      <x:c r="AV28" s="472" t="str">
        <x:f>IF($AN28="","",IF($AO28="지역개발기금",SUMIFS('3. 일출(의존)'!$AE$8:$AE$2000,'3. 일출(의존)'!$AS$8:$AS$2000,$AN28)+SUMIFS('3. 일출(자체)'!$AE$8:$AE$2000,'3. 일출(자체)'!$AM$8:$AM$2000,$AN28),IF($AO28="지방채",SUMIFS('3. 일출(의존)'!$AD$8:$AD$2000,'3. 일출(의존)'!$AS$8:$AS$2000,$AN28)+SUMIFS('3. 일출(자체)'!$AD$8:$AD$2000,'3. 일출(자체)'!$AM$8:$AM$2000,$AN28),0)))</x:f>
        <x:v/>
      </x:c>
      <x:c r="AW28" s="377" t="str">
        <x:f>IF($AN28="","",COUNTIF('3. 일출(의존)'!$AS$8:$AS$2000,$AN28)+COUNTIF('3. 일출(자체)'!$AM$8:$AM$2000,$AN28))</x:f>
        <x:v/>
      </x:c>
      <x:c r="AX28" s="374" t="str">
        <x:f t="shared" si="47"/>
        <x:v/>
      </x:c>
      <x:c r="AY28" s="91"/>
      <x:c r="AZ28" s="472" t="str">
        <x:f>IF($AK28="","",SUMIFS('3. 일출(의존)'!$AH$8:$AH$1989,'3. 일출(의존)'!$AN$8:$AN$1989,$AK28))</x:f>
        <x:v/>
      </x:c>
      <x:c r="BA28" s="377" t="str">
        <x:f>IF($AK28="","",COUNTIF('3. 일출(의존)'!$AN$7:$AN$1989,$AK28))</x:f>
        <x:v/>
      </x:c>
      <x:c r="BB28" s="374" t="str">
        <x:f t="shared" si="48"/>
        <x:v/>
      </x:c>
      <x:c r="BC28" s="472" t="str">
        <x:f>IF($AN28="","",IF($AO28="지역개발기금",SUMIFS('3. 일출(의존)'!$AK$8:$AK$2000,'3. 일출(의존)'!$AS$8:$AS$2000,$AN28)+SUMIFS('3. 일출(자체)'!$AJ$8:$AJ$2000,'3. 일출(자체)'!$AM$8:$AM$2000,$AN28),IF($AO28="지방채",SUMIFS('3. 일출(의존)'!$AJ$8:$AJ$2000,'3. 일출(의존)'!$AS$8:$AS$2000,$AN28)+SUMIFS('3. 일출(자체)'!$AI$8:$AI$2000,'3. 일출(자체)'!$AM$8:$AM$2000,$AN28),0)))</x:f>
        <x:v/>
      </x:c>
      <x:c r="BD28" s="377" t="str">
        <x:f>IF($AN28="","",COUNTIF('3. 일출(의존)'!$AS$8:$AS$2000,$AN28)+COUNTIF('3. 일출(자체)'!$AM$8:$AM$2000,$AN28))</x:f>
        <x:v/>
      </x:c>
      <x:c r="BE28" s="374" t="str">
        <x:f t="shared" si="49"/>
        <x:v/>
      </x:c>
    </x:row>
    <x:row r="29" spans="1:57" s="20" customFormat="1" ht="80.099999999999994" customHeight="1">
      <x:c r="A29" s="155" t="str">
        <x:f>IF(D29="","",COUNTA($C$8:C29)-COUNTBLANK($C$8:C29)+2)</x:f>
        <x:v/>
      </x:c>
      <x:c r="B29" s="156" t="str">
        <x: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x:f>
        <x:v/>
      </x:c>
      <x:c r="C29" s="156" t="str">
        <x:f>IF(D29="","",IF(OR(D29="교육지원과",D29="총무과",D29="인사과"),"직접입력",VLOOKUP(D29,구분표!$A$3:$C$258,3,)))</x:f>
        <x:v/>
      </x:c>
      <x:c r="D29" s="219"/>
      <x:c r="E29" s="213"/>
      <x:c r="F29" s="388" t="str">
        <x:f t="shared" si="50"/>
        <x:v/>
      </x:c>
      <x:c r="G29" s="388" t="str">
        <x:f t="shared" si="50"/>
        <x:v/>
      </x:c>
      <x:c r="H29" s="213"/>
      <x:c r="I29" s="156" t="str">
        <x:f>IF(H29="","",VLOOKUP($H29,구분표!$O$3:$P$168,2,FALSE))</x:f>
        <x:v/>
      </x:c>
      <x:c r="J29" s="215"/>
      <x:c r="K29" s="459" t="str">
        <x:f t="shared" si="51"/>
        <x:v/>
      </x:c>
      <x:c r="L29" s="459" t="str">
        <x:f t="shared" si="52"/>
        <x:v/>
      </x:c>
      <x:c r="M29" s="461" t="str">
        <x:f t="shared" si="31"/>
        <x:v/>
      </x:c>
      <x:c r="N29" s="460"/>
      <x:c r="O29" s="461">
        <x:f t="shared" si="32"/>
        <x:v>0</x:v>
      </x:c>
      <x:c r="P29" s="462"/>
      <x:c r="Q29" s="463">
        <x:f t="shared" si="33"/>
        <x:v>0</x:v>
      </x:c>
      <x:c r="R29" s="162" t="str">
        <x:f t="shared" si="34"/>
        <x:v>X</x:v>
      </x:c>
      <x:c r="S29" s="216"/>
      <x:c r="T29" s="327"/>
      <x:c r="U29" s="217"/>
      <x:c r="V29" s="203"/>
      <x:c r="W29" s="217"/>
      <x:c r="X29" s="217"/>
      <x:c r="Y29" s="162" t="str">
        <x:f t="shared" si="35"/>
        <x:v/>
      </x:c>
      <x:c r="Z29" s="45"/>
      <x:c r="AA29" s="471" t="str">
        <x:f t="shared" si="36"/>
        <x:v/>
      </x:c>
      <x:c r="AB29" s="471" t="str">
        <x:f t="shared" si="37"/>
        <x:v/>
      </x:c>
      <x:c r="AC29" s="471" t="str">
        <x:f t="shared" si="38"/>
        <x:v/>
      </x:c>
      <x:c r="AD29" s="471" t="str">
        <x:f t="shared" si="39"/>
        <x:v/>
      </x:c>
      <x:c r="AE29" s="46"/>
      <x:c r="AF29" s="471" t="str">
        <x:f t="shared" si="40"/>
        <x:v/>
      </x:c>
      <x:c r="AG29" s="471" t="str">
        <x:f t="shared" si="41"/>
        <x:v/>
      </x:c>
      <x:c r="AH29" s="471" t="str">
        <x:f t="shared" si="42"/>
        <x:v/>
      </x:c>
      <x:c r="AI29" s="471" t="str">
        <x:f t="shared" si="43"/>
        <x:v/>
      </x:c>
      <x:c r="AJ29" s="87"/>
      <x:c r="AK29" s="374" t="str">
        <x:f>IF($AQ29="","",IF(OR($AL29="",$AL29="도비"),"",CONCATENATE($AQ29,"-",COUNTIF($AQ$8:$AQ29,$AQ29))))</x:f>
        <x:v/>
      </x:c>
      <x:c r="AL29" s="374" t="str">
        <x:f t="shared" si="44"/>
        <x:v/>
      </x:c>
      <x:c r="AM29" s="87"/>
      <x:c r="AN29" s="375" t="str">
        <x:f>IF($AQ29="","",IF(OR($AO29="",$AO29="국비",$AO29="자체"),"",CONCATENATE($AQ29,"-",$AO29,"-",COUNTIF($AQ$8:$AQ29,$AQ29))))</x:f>
        <x:v/>
      </x:c>
      <x:c r="AO29" s="375" t="str">
        <x:f t="shared" si="45"/>
        <x:v/>
      </x:c>
      <x:c r="AP29" s="87"/>
      <x:c r="AQ29" s="374" t="str">
        <x:f t="array" ref="AQ29:AQ29">IF(OR($D29="",$C29="직접입력",$B29="직접입력"),"",INDEX(구분표!$I$2:$I$337,MATCH(1,(구분표!$G$2:$G$337='3. 일입'!$B29)*(구분표!$E$2:$E$337='3. 일입'!$C29)*(구분표!$F$2:$F$337='3. 일입'!$D29),0)))</x:f>
        <x:v/>
      </x:c>
      <x:c r="AR29" s="87"/>
      <x:c r="AS29" s="472" t="str">
        <x:f>IF($AK29="","",SUMIFS('3. 일출(의존)'!$AB$7:$AB$1989,'3. 일출(의존)'!$AN$7:$AN$1989,$AK29))</x:f>
        <x:v/>
      </x:c>
      <x:c r="AT29" s="377" t="str">
        <x:f>IF($AK29="","",COUNTIF('3. 일출(의존)'!$AN$7:$AN$1989,$AK29))</x:f>
        <x:v/>
      </x:c>
      <x:c r="AU29" s="374" t="str">
        <x:f t="shared" si="46"/>
        <x:v/>
      </x:c>
      <x:c r="AV29" s="472" t="str">
        <x:f>IF($AN29="","",IF($AO29="지역개발기금",SUMIFS('3. 일출(의존)'!$AE$8:$AE$2000,'3. 일출(의존)'!$AS$8:$AS$2000,$AN29)+SUMIFS('3. 일출(자체)'!$AE$8:$AE$2000,'3. 일출(자체)'!$AM$8:$AM$2000,$AN29),IF($AO29="지방채",SUMIFS('3. 일출(의존)'!$AD$8:$AD$2000,'3. 일출(의존)'!$AS$8:$AS$2000,$AN29)+SUMIFS('3. 일출(자체)'!$AD$8:$AD$2000,'3. 일출(자체)'!$AM$8:$AM$2000,$AN29),0)))</x:f>
        <x:v/>
      </x:c>
      <x:c r="AW29" s="377" t="str">
        <x:f>IF($AN29="","",COUNTIF('3. 일출(의존)'!$AS$8:$AS$2000,$AN29)+COUNTIF('3. 일출(자체)'!$AM$8:$AM$2000,$AN29))</x:f>
        <x:v/>
      </x:c>
      <x:c r="AX29" s="374" t="str">
        <x:f t="shared" si="47"/>
        <x:v/>
      </x:c>
      <x:c r="AY29" s="91"/>
      <x:c r="AZ29" s="472" t="str">
        <x:f>IF($AK29="","",SUMIFS('3. 일출(의존)'!$AH$8:$AH$1989,'3. 일출(의존)'!$AN$8:$AN$1989,$AK29))</x:f>
        <x:v/>
      </x:c>
      <x:c r="BA29" s="377" t="str">
        <x:f>IF($AK29="","",COUNTIF('3. 일출(의존)'!$AN$7:$AN$1989,$AK29))</x:f>
        <x:v/>
      </x:c>
      <x:c r="BB29" s="374" t="str">
        <x:f t="shared" si="48"/>
        <x:v/>
      </x:c>
      <x:c r="BC29" s="472" t="str">
        <x:f>IF($AN29="","",IF($AO29="지역개발기금",SUMIFS('3. 일출(의존)'!$AK$8:$AK$2000,'3. 일출(의존)'!$AS$8:$AS$2000,$AN29)+SUMIFS('3. 일출(자체)'!$AJ$8:$AJ$2000,'3. 일출(자체)'!$AM$8:$AM$2000,$AN29),IF($AO29="지방채",SUMIFS('3. 일출(의존)'!$AJ$8:$AJ$2000,'3. 일출(의존)'!$AS$8:$AS$2000,$AN29)+SUMIFS('3. 일출(자체)'!$AI$8:$AI$2000,'3. 일출(자체)'!$AM$8:$AM$2000,$AN29),0)))</x:f>
        <x:v/>
      </x:c>
      <x:c r="BD29" s="377" t="str">
        <x:f>IF($AN29="","",COUNTIF('3. 일출(의존)'!$AS$8:$AS$2000,$AN29)+COUNTIF('3. 일출(자체)'!$AM$8:$AM$2000,$AN29))</x:f>
        <x:v/>
      </x:c>
      <x:c r="BE29" s="374" t="str">
        <x:f t="shared" si="49"/>
        <x:v/>
      </x:c>
    </x:row>
    <x:row r="30" spans="1:57" s="20" customFormat="1" ht="80.099999999999994" customHeight="1">
      <x:c r="A30" s="155" t="str">
        <x:f>IF(D30="","",COUNTA($C$8:C30)-COUNTBLANK($C$8:C30)+2)</x:f>
        <x:v/>
      </x:c>
      <x:c r="B30" s="156" t="str">
        <x: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x:f>
        <x:v/>
      </x:c>
      <x:c r="C30" s="156" t="str">
        <x:f>IF(D30="","",IF(OR(D30="교육지원과",D30="총무과",D30="인사과"),"직접입력",VLOOKUP(D30,구분표!$A$3:$C$258,3,)))</x:f>
        <x:v/>
      </x:c>
      <x:c r="D30" s="219"/>
      <x:c r="E30" s="213"/>
      <x:c r="F30" s="388" t="str">
        <x:f t="shared" si="50"/>
        <x:v/>
      </x:c>
      <x:c r="G30" s="388" t="str">
        <x:f t="shared" si="50"/>
        <x:v/>
      </x:c>
      <x:c r="H30" s="213"/>
      <x:c r="I30" s="156" t="str">
        <x:f>IF(H30="","",VLOOKUP($H30,구분표!$O$3:$P$168,2,FALSE))</x:f>
        <x:v/>
      </x:c>
      <x:c r="J30" s="215"/>
      <x:c r="K30" s="459" t="str">
        <x:f t="shared" si="51"/>
        <x:v/>
      </x:c>
      <x:c r="L30" s="459" t="str">
        <x:f t="shared" si="52"/>
        <x:v/>
      </x:c>
      <x:c r="M30" s="461" t="str">
        <x:f t="shared" si="31"/>
        <x:v/>
      </x:c>
      <x:c r="N30" s="460"/>
      <x:c r="O30" s="461">
        <x:f t="shared" si="32"/>
        <x:v>0</x:v>
      </x:c>
      <x:c r="P30" s="462"/>
      <x:c r="Q30" s="463">
        <x:f t="shared" si="33"/>
        <x:v>0</x:v>
      </x:c>
      <x:c r="R30" s="162" t="str">
        <x:f t="shared" si="34"/>
        <x:v>X</x:v>
      </x:c>
      <x:c r="S30" s="216"/>
      <x:c r="T30" s="327"/>
      <x:c r="U30" s="217"/>
      <x:c r="V30" s="203"/>
      <x:c r="W30" s="217"/>
      <x:c r="X30" s="217"/>
      <x:c r="Y30" s="162" t="str">
        <x:f t="shared" si="35"/>
        <x:v/>
      </x:c>
      <x:c r="Z30" s="45"/>
      <x:c r="AA30" s="471" t="str">
        <x:f t="shared" si="36"/>
        <x:v/>
      </x:c>
      <x:c r="AB30" s="471" t="str">
        <x:f t="shared" si="37"/>
        <x:v/>
      </x:c>
      <x:c r="AC30" s="471" t="str">
        <x:f t="shared" si="38"/>
        <x:v/>
      </x:c>
      <x:c r="AD30" s="471" t="str">
        <x:f t="shared" si="39"/>
        <x:v/>
      </x:c>
      <x:c r="AE30" s="46"/>
      <x:c r="AF30" s="471" t="str">
        <x:f t="shared" si="40"/>
        <x:v/>
      </x:c>
      <x:c r="AG30" s="471" t="str">
        <x:f t="shared" si="41"/>
        <x:v/>
      </x:c>
      <x:c r="AH30" s="471" t="str">
        <x:f t="shared" si="42"/>
        <x:v/>
      </x:c>
      <x:c r="AI30" s="471" t="str">
        <x:f t="shared" si="43"/>
        <x:v/>
      </x:c>
      <x:c r="AJ30" s="87"/>
      <x:c r="AK30" s="374" t="str">
        <x:f>IF($AQ30="","",IF(OR($AL30="",$AL30="도비"),"",CONCATENATE($AQ30,"-",COUNTIF($AQ$8:$AQ30,$AQ30))))</x:f>
        <x:v/>
      </x:c>
      <x:c r="AL30" s="374" t="str">
        <x:f t="shared" si="44"/>
        <x:v/>
      </x:c>
      <x:c r="AM30" s="87"/>
      <x:c r="AN30" s="375" t="str">
        <x:f>IF($AQ30="","",IF(OR($AO30="",$AO30="국비",$AO30="자체"),"",CONCATENATE($AQ30,"-",$AO30,"-",COUNTIF($AQ$8:$AQ30,$AQ30))))</x:f>
        <x:v/>
      </x:c>
      <x:c r="AO30" s="375" t="str">
        <x:f t="shared" si="45"/>
        <x:v/>
      </x:c>
      <x:c r="AP30" s="87"/>
      <x:c r="AQ30" s="374" t="str">
        <x:f t="array" ref="AQ30:AQ30">IF(OR($D30="",$C30="직접입력",$B30="직접입력"),"",INDEX(구분표!$I$2:$I$337,MATCH(1,(구분표!$G$2:$G$337='3. 일입'!$B30)*(구분표!$E$2:$E$337='3. 일입'!$C30)*(구분표!$F$2:$F$337='3. 일입'!$D30),0)))</x:f>
        <x:v/>
      </x:c>
      <x:c r="AR30" s="87"/>
      <x:c r="AS30" s="472" t="str">
        <x:f>IF($AK30="","",SUMIFS('3. 일출(의존)'!$AB$7:$AB$1989,'3. 일출(의존)'!$AN$7:$AN$1989,$AK30))</x:f>
        <x:v/>
      </x:c>
      <x:c r="AT30" s="377" t="str">
        <x:f>IF($AK30="","",COUNTIF('3. 일출(의존)'!$AN$7:$AN$1989,$AK30))</x:f>
        <x:v/>
      </x:c>
      <x:c r="AU30" s="374" t="str">
        <x:f t="shared" si="46"/>
        <x:v/>
      </x:c>
      <x:c r="AV30" s="472" t="str">
        <x:f>IF($AN30="","",IF($AO30="지역개발기금",SUMIFS('3. 일출(의존)'!$AE$8:$AE$2000,'3. 일출(의존)'!$AS$8:$AS$2000,$AN30)+SUMIFS('3. 일출(자체)'!$AE$8:$AE$2000,'3. 일출(자체)'!$AM$8:$AM$2000,$AN30),IF($AO30="지방채",SUMIFS('3. 일출(의존)'!$AD$8:$AD$2000,'3. 일출(의존)'!$AS$8:$AS$2000,$AN30)+SUMIFS('3. 일출(자체)'!$AD$8:$AD$2000,'3. 일출(자체)'!$AM$8:$AM$2000,$AN30),0)))</x:f>
        <x:v/>
      </x:c>
      <x:c r="AW30" s="377" t="str">
        <x:f>IF($AN30="","",COUNTIF('3. 일출(의존)'!$AS$8:$AS$2000,$AN30)+COUNTIF('3. 일출(자체)'!$AM$8:$AM$2000,$AN30))</x:f>
        <x:v/>
      </x:c>
      <x:c r="AX30" s="374" t="str">
        <x:f t="shared" si="47"/>
        <x:v/>
      </x:c>
      <x:c r="AY30" s="91"/>
      <x:c r="AZ30" s="472" t="str">
        <x:f>IF($AK30="","",SUMIFS('3. 일출(의존)'!$AH$8:$AH$1989,'3. 일출(의존)'!$AN$8:$AN$1989,$AK30))</x:f>
        <x:v/>
      </x:c>
      <x:c r="BA30" s="377" t="str">
        <x:f>IF($AK30="","",COUNTIF('3. 일출(의존)'!$AN$7:$AN$1989,$AK30))</x:f>
        <x:v/>
      </x:c>
      <x:c r="BB30" s="374" t="str">
        <x:f t="shared" si="48"/>
        <x:v/>
      </x:c>
      <x:c r="BC30" s="472" t="str">
        <x:f>IF($AN30="","",IF($AO30="지역개발기금",SUMIFS('3. 일출(의존)'!$AK$8:$AK$2000,'3. 일출(의존)'!$AS$8:$AS$2000,$AN30)+SUMIFS('3. 일출(자체)'!$AJ$8:$AJ$2000,'3. 일출(자체)'!$AM$8:$AM$2000,$AN30),IF($AO30="지방채",SUMIFS('3. 일출(의존)'!$AJ$8:$AJ$2000,'3. 일출(의존)'!$AS$8:$AS$2000,$AN30)+SUMIFS('3. 일출(자체)'!$AI$8:$AI$2000,'3. 일출(자체)'!$AM$8:$AM$2000,$AN30),0)))</x:f>
        <x:v/>
      </x:c>
      <x:c r="BD30" s="377" t="str">
        <x:f>IF($AN30="","",COUNTIF('3. 일출(의존)'!$AS$8:$AS$2000,$AN30)+COUNTIF('3. 일출(자체)'!$AM$8:$AM$2000,$AN30))</x:f>
        <x:v/>
      </x:c>
      <x:c r="BE30" s="374" t="str">
        <x:f t="shared" si="49"/>
        <x:v/>
      </x:c>
    </x:row>
    <x:row r="31" spans="1:57" s="20" customFormat="1" ht="80.099999999999994" customHeight="1">
      <x:c r="A31" s="155" t="str">
        <x:f>IF(D31="","",COUNTA($C$8:C31)-COUNTBLANK($C$8:C31)+2)</x:f>
        <x:v/>
      </x:c>
      <x:c r="B31" s="156" t="str">
        <x: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x:f>
        <x:v/>
      </x:c>
      <x:c r="C31" s="156" t="str">
        <x:f>IF(D31="","",IF(OR(D31="교육지원과",D31="총무과",D31="인사과"),"직접입력",VLOOKUP(D31,구분표!$A$3:$C$258,3,)))</x:f>
        <x:v/>
      </x:c>
      <x:c r="D31" s="219"/>
      <x:c r="E31" s="213"/>
      <x:c r="F31" s="388" t="str">
        <x:f t="shared" si="50"/>
        <x:v/>
      </x:c>
      <x:c r="G31" s="388" t="str">
        <x:f t="shared" si="50"/>
        <x:v/>
      </x:c>
      <x:c r="H31" s="213"/>
      <x:c r="I31" s="156" t="str">
        <x:f>IF(H31="","",VLOOKUP($H31,구분표!$O$3:$P$168,2,FALSE))</x:f>
        <x:v/>
      </x:c>
      <x:c r="J31" s="215"/>
      <x:c r="K31" s="459" t="str">
        <x:f t="shared" si="51"/>
        <x:v/>
      </x:c>
      <x:c r="L31" s="459" t="str">
        <x:f t="shared" si="52"/>
        <x:v/>
      </x:c>
      <x:c r="M31" s="461" t="str">
        <x:f t="shared" si="31"/>
        <x:v/>
      </x:c>
      <x:c r="N31" s="460"/>
      <x:c r="O31" s="461">
        <x:f t="shared" si="32"/>
        <x:v>0</x:v>
      </x:c>
      <x:c r="P31" s="462"/>
      <x:c r="Q31" s="463">
        <x:f t="shared" si="33"/>
        <x:v>0</x:v>
      </x:c>
      <x:c r="R31" s="162" t="str">
        <x:f t="shared" si="34"/>
        <x:v>X</x:v>
      </x:c>
      <x:c r="S31" s="216"/>
      <x:c r="T31" s="327"/>
      <x:c r="U31" s="217"/>
      <x:c r="V31" s="203"/>
      <x:c r="W31" s="217"/>
      <x:c r="X31" s="217"/>
      <x:c r="Y31" s="162" t="str">
        <x:f t="shared" si="35"/>
        <x:v/>
      </x:c>
      <x:c r="Z31" s="45"/>
      <x:c r="AA31" s="471" t="str">
        <x:f t="shared" si="36"/>
        <x:v/>
      </x:c>
      <x:c r="AB31" s="471" t="str">
        <x:f t="shared" si="37"/>
        <x:v/>
      </x:c>
      <x:c r="AC31" s="471" t="str">
        <x:f t="shared" si="38"/>
        <x:v/>
      </x:c>
      <x:c r="AD31" s="471" t="str">
        <x:f t="shared" si="39"/>
        <x:v/>
      </x:c>
      <x:c r="AE31" s="46"/>
      <x:c r="AF31" s="471" t="str">
        <x:f t="shared" si="40"/>
        <x:v/>
      </x:c>
      <x:c r="AG31" s="471" t="str">
        <x:f t="shared" si="41"/>
        <x:v/>
      </x:c>
      <x:c r="AH31" s="471" t="str">
        <x:f t="shared" si="42"/>
        <x:v/>
      </x:c>
      <x:c r="AI31" s="471" t="str">
        <x:f t="shared" si="43"/>
        <x:v/>
      </x:c>
      <x:c r="AJ31" s="87"/>
      <x:c r="AK31" s="374" t="str">
        <x:f>IF($AQ31="","",IF(OR($AL31="",$AL31="도비"),"",CONCATENATE($AQ31,"-",COUNTIF($AQ$8:$AQ31,$AQ31))))</x:f>
        <x:v/>
      </x:c>
      <x:c r="AL31" s="374" t="str">
        <x:f t="shared" si="44"/>
        <x:v/>
      </x:c>
      <x:c r="AM31" s="87"/>
      <x:c r="AN31" s="375" t="str">
        <x:f>IF($AQ31="","",IF(OR($AO31="",$AO31="국비",$AO31="자체"),"",CONCATENATE($AQ31,"-",$AO31,"-",COUNTIF($AQ$8:$AQ31,$AQ31))))</x:f>
        <x:v/>
      </x:c>
      <x:c r="AO31" s="375" t="str">
        <x:f t="shared" si="45"/>
        <x:v/>
      </x:c>
      <x:c r="AP31" s="87"/>
      <x:c r="AQ31" s="374" t="str">
        <x:f t="array" ref="AQ31:AQ31">IF(OR($D31="",$C31="직접입력",$B31="직접입력"),"",INDEX(구분표!$I$2:$I$337,MATCH(1,(구분표!$G$2:$G$337='3. 일입'!$B31)*(구분표!$E$2:$E$337='3. 일입'!$C31)*(구분표!$F$2:$F$337='3. 일입'!$D31),0)))</x:f>
        <x:v/>
      </x:c>
      <x:c r="AR31" s="87"/>
      <x:c r="AS31" s="472" t="str">
        <x:f>IF($AK31="","",SUMIFS('3. 일출(의존)'!$AB$7:$AB$1989,'3. 일출(의존)'!$AN$7:$AN$1989,$AK31))</x:f>
        <x:v/>
      </x:c>
      <x:c r="AT31" s="377" t="str">
        <x:f>IF($AK31="","",COUNTIF('3. 일출(의존)'!$AN$7:$AN$1989,$AK31))</x:f>
        <x:v/>
      </x:c>
      <x:c r="AU31" s="374" t="str">
        <x:f t="shared" si="46"/>
        <x:v/>
      </x:c>
      <x:c r="AV31" s="472" t="str">
        <x:f>IF($AN31="","",IF($AO31="지역개발기금",SUMIFS('3. 일출(의존)'!$AE$8:$AE$2000,'3. 일출(의존)'!$AS$8:$AS$2000,$AN31)+SUMIFS('3. 일출(자체)'!$AE$8:$AE$2000,'3. 일출(자체)'!$AM$8:$AM$2000,$AN31),IF($AO31="지방채",SUMIFS('3. 일출(의존)'!$AD$8:$AD$2000,'3. 일출(의존)'!$AS$8:$AS$2000,$AN31)+SUMIFS('3. 일출(자체)'!$AD$8:$AD$2000,'3. 일출(자체)'!$AM$8:$AM$2000,$AN31),0)))</x:f>
        <x:v/>
      </x:c>
      <x:c r="AW31" s="377" t="str">
        <x:f>IF($AN31="","",COUNTIF('3. 일출(의존)'!$AS$8:$AS$2000,$AN31)+COUNTIF('3. 일출(자체)'!$AM$8:$AM$2000,$AN31))</x:f>
        <x:v/>
      </x:c>
      <x:c r="AX31" s="374" t="str">
        <x:f t="shared" si="47"/>
        <x:v/>
      </x:c>
      <x:c r="AY31" s="91"/>
      <x:c r="AZ31" s="472" t="str">
        <x:f>IF($AK31="","",SUMIFS('3. 일출(의존)'!$AH$8:$AH$1989,'3. 일출(의존)'!$AN$8:$AN$1989,$AK31))</x:f>
        <x:v/>
      </x:c>
      <x:c r="BA31" s="377" t="str">
        <x:f>IF($AK31="","",COUNTIF('3. 일출(의존)'!$AN$7:$AN$1989,$AK31))</x:f>
        <x:v/>
      </x:c>
      <x:c r="BB31" s="374" t="str">
        <x:f t="shared" si="48"/>
        <x:v/>
      </x:c>
      <x:c r="BC31" s="472" t="str">
        <x:f>IF($AN31="","",IF($AO31="지역개발기금",SUMIFS('3. 일출(의존)'!$AK$8:$AK$2000,'3. 일출(의존)'!$AS$8:$AS$2000,$AN31)+SUMIFS('3. 일출(자체)'!$AJ$8:$AJ$2000,'3. 일출(자체)'!$AM$8:$AM$2000,$AN31),IF($AO31="지방채",SUMIFS('3. 일출(의존)'!$AJ$8:$AJ$2000,'3. 일출(의존)'!$AS$8:$AS$2000,$AN31)+SUMIFS('3. 일출(자체)'!$AI$8:$AI$2000,'3. 일출(자체)'!$AM$8:$AM$2000,$AN31),0)))</x:f>
        <x:v/>
      </x:c>
      <x:c r="BD31" s="377" t="str">
        <x:f>IF($AN31="","",COUNTIF('3. 일출(의존)'!$AS$8:$AS$2000,$AN31)+COUNTIF('3. 일출(자체)'!$AM$8:$AM$2000,$AN31))</x:f>
        <x:v/>
      </x:c>
      <x:c r="BE31" s="374" t="str">
        <x:f t="shared" si="49"/>
        <x:v/>
      </x:c>
    </x:row>
    <x:row r="32" spans="1:57" s="20" customFormat="1" ht="80.099999999999994" customHeight="1">
      <x:c r="A32" s="155" t="str">
        <x:f>IF(D32="","",COUNTA($C$8:C32)-COUNTBLANK($C$8:C32)+2)</x:f>
        <x:v/>
      </x:c>
      <x:c r="B32" s="156" t="str">
        <x: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x:f>
        <x:v/>
      </x:c>
      <x:c r="C32" s="156" t="str">
        <x:f>IF(D32="","",IF(OR(D32="교육지원과",D32="총무과",D32="인사과"),"직접입력",VLOOKUP(D32,구분표!$A$3:$C$258,3,)))</x:f>
        <x:v/>
      </x:c>
      <x:c r="D32" s="219"/>
      <x:c r="E32" s="213"/>
      <x:c r="F32" s="388" t="str">
        <x:f t="shared" si="50"/>
        <x:v/>
      </x:c>
      <x:c r="G32" s="388" t="str">
        <x:f t="shared" si="50"/>
        <x:v/>
      </x:c>
      <x:c r="H32" s="213"/>
      <x:c r="I32" s="156" t="str">
        <x:f>IF(H32="","",VLOOKUP($H32,구분표!$O$3:$P$168,2,FALSE))</x:f>
        <x:v/>
      </x:c>
      <x:c r="J32" s="215"/>
      <x:c r="K32" s="459" t="str">
        <x:f t="shared" si="51"/>
        <x:v/>
      </x:c>
      <x:c r="L32" s="459" t="str">
        <x:f t="shared" si="52"/>
        <x:v/>
      </x:c>
      <x:c r="M32" s="461" t="str">
        <x:f t="shared" si="31"/>
        <x:v/>
      </x:c>
      <x:c r="N32" s="460"/>
      <x:c r="O32" s="461">
        <x:f t="shared" si="32"/>
        <x:v>0</x:v>
      </x:c>
      <x:c r="P32" s="462"/>
      <x:c r="Q32" s="463">
        <x:f t="shared" si="33"/>
        <x:v>0</x:v>
      </x:c>
      <x:c r="R32" s="162" t="str">
        <x:f t="shared" si="34"/>
        <x:v>X</x:v>
      </x:c>
      <x:c r="S32" s="216"/>
      <x:c r="T32" s="327"/>
      <x:c r="U32" s="217"/>
      <x:c r="V32" s="203"/>
      <x:c r="W32" s="217"/>
      <x:c r="X32" s="217"/>
      <x:c r="Y32" s="162" t="str">
        <x:f t="shared" si="35"/>
        <x:v/>
      </x:c>
      <x:c r="Z32" s="45"/>
      <x:c r="AA32" s="471" t="str">
        <x:f t="shared" si="36"/>
        <x:v/>
      </x:c>
      <x:c r="AB32" s="471" t="str">
        <x:f t="shared" si="37"/>
        <x:v/>
      </x:c>
      <x:c r="AC32" s="471" t="str">
        <x:f t="shared" si="38"/>
        <x:v/>
      </x:c>
      <x:c r="AD32" s="471" t="str">
        <x:f t="shared" si="39"/>
        <x:v/>
      </x:c>
      <x:c r="AE32" s="46"/>
      <x:c r="AF32" s="471" t="str">
        <x:f t="shared" si="40"/>
        <x:v/>
      </x:c>
      <x:c r="AG32" s="471" t="str">
        <x:f t="shared" si="41"/>
        <x:v/>
      </x:c>
      <x:c r="AH32" s="471" t="str">
        <x:f t="shared" si="42"/>
        <x:v/>
      </x:c>
      <x:c r="AI32" s="471" t="str">
        <x:f t="shared" si="43"/>
        <x:v/>
      </x:c>
      <x:c r="AJ32" s="87"/>
      <x:c r="AK32" s="374" t="str">
        <x:f>IF($AQ32="","",IF(OR($AL32="",$AL32="도비"),"",CONCATENATE($AQ32,"-",COUNTIF($AQ$8:$AQ32,$AQ32))))</x:f>
        <x:v/>
      </x:c>
      <x:c r="AL32" s="374" t="str">
        <x:f t="shared" si="44"/>
        <x:v/>
      </x:c>
      <x:c r="AM32" s="87"/>
      <x:c r="AN32" s="375" t="str">
        <x:f>IF($AQ32="","",IF(OR($AO32="",$AO32="국비",$AO32="자체"),"",CONCATENATE($AQ32,"-",$AO32,"-",COUNTIF($AQ$8:$AQ32,$AQ32))))</x:f>
        <x:v/>
      </x:c>
      <x:c r="AO32" s="375" t="str">
        <x:f t="shared" si="45"/>
        <x:v/>
      </x:c>
      <x:c r="AP32" s="87"/>
      <x:c r="AQ32" s="374" t="str">
        <x:f t="array" ref="AQ32:AQ32">IF(OR($D32="",$C32="직접입력",$B32="직접입력"),"",INDEX(구분표!$I$2:$I$337,MATCH(1,(구분표!$G$2:$G$337='3. 일입'!$B32)*(구분표!$E$2:$E$337='3. 일입'!$C32)*(구분표!$F$2:$F$337='3. 일입'!$D32),0)))</x:f>
        <x:v/>
      </x:c>
      <x:c r="AR32" s="87"/>
      <x:c r="AS32" s="472" t="str">
        <x:f>IF($AK32="","",SUMIFS('3. 일출(의존)'!$AB$7:$AB$1989,'3. 일출(의존)'!$AN$7:$AN$1989,$AK32))</x:f>
        <x:v/>
      </x:c>
      <x:c r="AT32" s="377" t="str">
        <x:f>IF($AK32="","",COUNTIF('3. 일출(의존)'!$AN$7:$AN$1989,$AK32))</x:f>
        <x:v/>
      </x:c>
      <x:c r="AU32" s="374" t="str">
        <x:f t="shared" si="46"/>
        <x:v/>
      </x:c>
      <x:c r="AV32" s="472" t="str">
        <x:f>IF($AN32="","",IF($AO32="지역개발기금",SUMIFS('3. 일출(의존)'!$AE$8:$AE$2000,'3. 일출(의존)'!$AS$8:$AS$2000,$AN32)+SUMIFS('3. 일출(자체)'!$AE$8:$AE$2000,'3. 일출(자체)'!$AM$8:$AM$2000,$AN32),IF($AO32="지방채",SUMIFS('3. 일출(의존)'!$AD$8:$AD$2000,'3. 일출(의존)'!$AS$8:$AS$2000,$AN32)+SUMIFS('3. 일출(자체)'!$AD$8:$AD$2000,'3. 일출(자체)'!$AM$8:$AM$2000,$AN32),0)))</x:f>
        <x:v/>
      </x:c>
      <x:c r="AW32" s="377" t="str">
        <x:f>IF($AN32="","",COUNTIF('3. 일출(의존)'!$AS$8:$AS$2000,$AN32)+COUNTIF('3. 일출(자체)'!$AM$8:$AM$2000,$AN32))</x:f>
        <x:v/>
      </x:c>
      <x:c r="AX32" s="374" t="str">
        <x:f t="shared" si="47"/>
        <x:v/>
      </x:c>
      <x:c r="AY32" s="91"/>
      <x:c r="AZ32" s="472" t="str">
        <x:f>IF($AK32="","",SUMIFS('3. 일출(의존)'!$AH$8:$AH$1989,'3. 일출(의존)'!$AN$8:$AN$1989,$AK32))</x:f>
        <x:v/>
      </x:c>
      <x:c r="BA32" s="377" t="str">
        <x:f>IF($AK32="","",COUNTIF('3. 일출(의존)'!$AN$7:$AN$1989,$AK32))</x:f>
        <x:v/>
      </x:c>
      <x:c r="BB32" s="374" t="str">
        <x:f t="shared" si="48"/>
        <x:v/>
      </x:c>
      <x:c r="BC32" s="472" t="str">
        <x:f>IF($AN32="","",IF($AO32="지역개발기금",SUMIFS('3. 일출(의존)'!$AK$8:$AK$2000,'3. 일출(의존)'!$AS$8:$AS$2000,$AN32)+SUMIFS('3. 일출(자체)'!$AJ$8:$AJ$2000,'3. 일출(자체)'!$AM$8:$AM$2000,$AN32),IF($AO32="지방채",SUMIFS('3. 일출(의존)'!$AJ$8:$AJ$2000,'3. 일출(의존)'!$AS$8:$AS$2000,$AN32)+SUMIFS('3. 일출(자체)'!$AI$8:$AI$2000,'3. 일출(자체)'!$AM$8:$AM$2000,$AN32),0)))</x:f>
        <x:v/>
      </x:c>
      <x:c r="BD32" s="377" t="str">
        <x:f>IF($AN32="","",COUNTIF('3. 일출(의존)'!$AS$8:$AS$2000,$AN32)+COUNTIF('3. 일출(자체)'!$AM$8:$AM$2000,$AN32))</x:f>
        <x:v/>
      </x:c>
      <x:c r="BE32" s="374" t="str">
        <x:f t="shared" si="49"/>
        <x:v/>
      </x:c>
    </x:row>
    <x:row r="33" spans="1:57" s="20" customFormat="1" ht="80.099999999999994" customHeight="1">
      <x:c r="A33" s="155" t="str">
        <x:f>IF(D33="","",COUNTA($C$8:C33)-COUNTBLANK($C$8:C33)+2)</x:f>
        <x:v/>
      </x:c>
      <x:c r="B33" s="156" t="str">
        <x: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x:f>
        <x:v/>
      </x:c>
      <x:c r="C33" s="156" t="str">
        <x:f>IF(D33="","",IF(OR(D33="교육지원과",D33="총무과",D33="인사과"),"직접입력",VLOOKUP(D33,구분표!$A$3:$C$258,3,)))</x:f>
        <x:v/>
      </x:c>
      <x:c r="D33" s="219"/>
      <x:c r="E33" s="213"/>
      <x:c r="F33" s="388" t="str">
        <x:f t="shared" si="50"/>
        <x:v/>
      </x:c>
      <x:c r="G33" s="388" t="str">
        <x:f t="shared" si="50"/>
        <x:v/>
      </x:c>
      <x:c r="H33" s="213"/>
      <x:c r="I33" s="156" t="str">
        <x:f>IF(H33="","",VLOOKUP($H33,구분표!$O$3:$P$168,2,FALSE))</x:f>
        <x:v/>
      </x:c>
      <x:c r="J33" s="215"/>
      <x:c r="K33" s="459" t="str">
        <x:f t="shared" si="51"/>
        <x:v/>
      </x:c>
      <x:c r="L33" s="459" t="str">
        <x:f t="shared" si="52"/>
        <x:v/>
      </x:c>
      <x:c r="M33" s="461" t="str">
        <x:f t="shared" si="31"/>
        <x:v/>
      </x:c>
      <x:c r="N33" s="460"/>
      <x:c r="O33" s="461">
        <x:f t="shared" si="32"/>
        <x:v>0</x:v>
      </x:c>
      <x:c r="P33" s="462"/>
      <x:c r="Q33" s="463">
        <x:f t="shared" si="33"/>
        <x:v>0</x:v>
      </x:c>
      <x:c r="R33" s="162" t="str">
        <x:f t="shared" si="34"/>
        <x:v>X</x:v>
      </x:c>
      <x:c r="S33" s="216"/>
      <x:c r="T33" s="327"/>
      <x:c r="U33" s="217"/>
      <x:c r="V33" s="203"/>
      <x:c r="W33" s="217"/>
      <x:c r="X33" s="217"/>
      <x:c r="Y33" s="162" t="str">
        <x:f t="shared" si="35"/>
        <x:v/>
      </x:c>
      <x:c r="Z33" s="45"/>
      <x:c r="AA33" s="471" t="str">
        <x:f t="shared" si="36"/>
        <x:v/>
      </x:c>
      <x:c r="AB33" s="471" t="str">
        <x:f t="shared" si="37"/>
        <x:v/>
      </x:c>
      <x:c r="AC33" s="471" t="str">
        <x:f t="shared" si="38"/>
        <x:v/>
      </x:c>
      <x:c r="AD33" s="471" t="str">
        <x:f t="shared" si="39"/>
        <x:v/>
      </x:c>
      <x:c r="AE33" s="46"/>
      <x:c r="AF33" s="471" t="str">
        <x:f t="shared" si="40"/>
        <x:v/>
      </x:c>
      <x:c r="AG33" s="471" t="str">
        <x:f t="shared" si="41"/>
        <x:v/>
      </x:c>
      <x:c r="AH33" s="471" t="str">
        <x:f t="shared" si="42"/>
        <x:v/>
      </x:c>
      <x:c r="AI33" s="471" t="str">
        <x:f t="shared" si="43"/>
        <x:v/>
      </x:c>
      <x:c r="AJ33" s="87"/>
      <x:c r="AK33" s="374" t="str">
        <x:f>IF($AQ33="","",IF(OR($AL33="",$AL33="도비"),"",CONCATENATE($AQ33,"-",COUNTIF($AQ$8:$AQ33,$AQ33))))</x:f>
        <x:v/>
      </x:c>
      <x:c r="AL33" s="374" t="str">
        <x:f t="shared" si="44"/>
        <x:v/>
      </x:c>
      <x:c r="AM33" s="87"/>
      <x:c r="AN33" s="375" t="str">
        <x:f>IF($AQ33="","",IF(OR($AO33="",$AO33="국비",$AO33="자체"),"",CONCATENATE($AQ33,"-",$AO33,"-",COUNTIF($AQ$8:$AQ33,$AQ33))))</x:f>
        <x:v/>
      </x:c>
      <x:c r="AO33" s="375" t="str">
        <x:f t="shared" si="45"/>
        <x:v/>
      </x:c>
      <x:c r="AP33" s="87"/>
      <x:c r="AQ33" s="374" t="str">
        <x:f t="array" ref="AQ33:AQ33">IF(OR($D33="",$C33="직접입력",$B33="직접입력"),"",INDEX(구분표!$I$2:$I$337,MATCH(1,(구분표!$G$2:$G$337='3. 일입'!$B33)*(구분표!$E$2:$E$337='3. 일입'!$C33)*(구분표!$F$2:$F$337='3. 일입'!$D33),0)))</x:f>
        <x:v/>
      </x:c>
      <x:c r="AR33" s="87"/>
      <x:c r="AS33" s="472" t="str">
        <x:f>IF($AK33="","",SUMIFS('3. 일출(의존)'!$AB$7:$AB$1989,'3. 일출(의존)'!$AN$7:$AN$1989,$AK33))</x:f>
        <x:v/>
      </x:c>
      <x:c r="AT33" s="377" t="str">
        <x:f>IF($AK33="","",COUNTIF('3. 일출(의존)'!$AN$7:$AN$1989,$AK33))</x:f>
        <x:v/>
      </x:c>
      <x:c r="AU33" s="374" t="str">
        <x:f t="shared" si="46"/>
        <x:v/>
      </x:c>
      <x:c r="AV33" s="472" t="str">
        <x:f>IF($AN33="","",IF($AO33="지역개발기금",SUMIFS('3. 일출(의존)'!$AE$8:$AE$2000,'3. 일출(의존)'!$AS$8:$AS$2000,$AN33)+SUMIFS('3. 일출(자체)'!$AE$8:$AE$2000,'3. 일출(자체)'!$AM$8:$AM$2000,$AN33),IF($AO33="지방채",SUMIFS('3. 일출(의존)'!$AD$8:$AD$2000,'3. 일출(의존)'!$AS$8:$AS$2000,$AN33)+SUMIFS('3. 일출(자체)'!$AD$8:$AD$2000,'3. 일출(자체)'!$AM$8:$AM$2000,$AN33),0)))</x:f>
        <x:v/>
      </x:c>
      <x:c r="AW33" s="377" t="str">
        <x:f>IF($AN33="","",COUNTIF('3. 일출(의존)'!$AS$8:$AS$2000,$AN33)+COUNTIF('3. 일출(자체)'!$AM$8:$AM$2000,$AN33))</x:f>
        <x:v/>
      </x:c>
      <x:c r="AX33" s="374" t="str">
        <x:f t="shared" si="47"/>
        <x:v/>
      </x:c>
      <x:c r="AY33" s="91"/>
      <x:c r="AZ33" s="472" t="str">
        <x:f>IF($AK33="","",SUMIFS('3. 일출(의존)'!$AH$8:$AH$1989,'3. 일출(의존)'!$AN$8:$AN$1989,$AK33))</x:f>
        <x:v/>
      </x:c>
      <x:c r="BA33" s="377" t="str">
        <x:f>IF($AK33="","",COUNTIF('3. 일출(의존)'!$AN$7:$AN$1989,$AK33))</x:f>
        <x:v/>
      </x:c>
      <x:c r="BB33" s="374" t="str">
        <x:f t="shared" si="48"/>
        <x:v/>
      </x:c>
      <x:c r="BC33" s="472" t="str">
        <x:f>IF($AN33="","",IF($AO33="지역개발기금",SUMIFS('3. 일출(의존)'!$AK$8:$AK$2000,'3. 일출(의존)'!$AS$8:$AS$2000,$AN33)+SUMIFS('3. 일출(자체)'!$AJ$8:$AJ$2000,'3. 일출(자체)'!$AM$8:$AM$2000,$AN33),IF($AO33="지방채",SUMIFS('3. 일출(의존)'!$AJ$8:$AJ$2000,'3. 일출(의존)'!$AS$8:$AS$2000,$AN33)+SUMIFS('3. 일출(자체)'!$AI$8:$AI$2000,'3. 일출(자체)'!$AM$8:$AM$2000,$AN33),0)))</x:f>
        <x:v/>
      </x:c>
      <x:c r="BD33" s="377" t="str">
        <x:f>IF($AN33="","",COUNTIF('3. 일출(의존)'!$AS$8:$AS$2000,$AN33)+COUNTIF('3. 일출(자체)'!$AM$8:$AM$2000,$AN33))</x:f>
        <x:v/>
      </x:c>
      <x:c r="BE33" s="374" t="str">
        <x:f t="shared" si="49"/>
        <x:v/>
      </x:c>
    </x:row>
    <x:row r="34" spans="1:57" s="20" customFormat="1" ht="80.099999999999994" customHeight="1">
      <x:c r="A34" s="155" t="str">
        <x:f>IF(D34="","",COUNTA($C$8:C34)-COUNTBLANK($C$8:C34)+2)</x:f>
        <x:v/>
      </x:c>
      <x:c r="B34" s="156" t="str">
        <x: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x:f>
        <x:v/>
      </x:c>
      <x:c r="C34" s="156" t="str">
        <x:f>IF(D34="","",IF(OR(D34="교육지원과",D34="총무과",D34="인사과"),"직접입력",VLOOKUP(D34,구분표!$A$3:$C$258,3,)))</x:f>
        <x:v/>
      </x:c>
      <x:c r="D34" s="219"/>
      <x:c r="E34" s="213"/>
      <x:c r="F34" s="388" t="str">
        <x:f t="shared" si="50"/>
        <x:v/>
      </x:c>
      <x:c r="G34" s="388" t="str">
        <x:f t="shared" si="50"/>
        <x:v/>
      </x:c>
      <x:c r="H34" s="213"/>
      <x:c r="I34" s="156" t="str">
        <x:f>IF(H34="","",VLOOKUP($H34,구분표!$O$3:$P$168,2,FALSE))</x:f>
        <x:v/>
      </x:c>
      <x:c r="J34" s="215"/>
      <x:c r="K34" s="459" t="str">
        <x:f t="shared" si="51"/>
        <x:v/>
      </x:c>
      <x:c r="L34" s="459" t="str">
        <x:f t="shared" si="52"/>
        <x:v/>
      </x:c>
      <x:c r="M34" s="461" t="str">
        <x:f t="shared" si="31"/>
        <x:v/>
      </x:c>
      <x:c r="N34" s="460"/>
      <x:c r="O34" s="461">
        <x:f t="shared" si="32"/>
        <x:v>0</x:v>
      </x:c>
      <x:c r="P34" s="462"/>
      <x:c r="Q34" s="463">
        <x:f t="shared" si="33"/>
        <x:v>0</x:v>
      </x:c>
      <x:c r="R34" s="162" t="str">
        <x:f t="shared" si="34"/>
        <x:v>X</x:v>
      </x:c>
      <x:c r="S34" s="216"/>
      <x:c r="T34" s="327"/>
      <x:c r="U34" s="217"/>
      <x:c r="V34" s="203"/>
      <x:c r="W34" s="217"/>
      <x:c r="X34" s="217"/>
      <x:c r="Y34" s="162" t="str">
        <x:f t="shared" si="35"/>
        <x:v/>
      </x:c>
      <x:c r="Z34" s="45"/>
      <x:c r="AA34" s="471" t="str">
        <x:f t="shared" si="36"/>
        <x:v/>
      </x:c>
      <x:c r="AB34" s="471" t="str">
        <x:f t="shared" si="37"/>
        <x:v/>
      </x:c>
      <x:c r="AC34" s="471" t="str">
        <x:f t="shared" si="38"/>
        <x:v/>
      </x:c>
      <x:c r="AD34" s="471" t="str">
        <x:f t="shared" si="39"/>
        <x:v/>
      </x:c>
      <x:c r="AE34" s="46"/>
      <x:c r="AF34" s="471" t="str">
        <x:f t="shared" si="40"/>
        <x:v/>
      </x:c>
      <x:c r="AG34" s="471" t="str">
        <x:f t="shared" si="41"/>
        <x:v/>
      </x:c>
      <x:c r="AH34" s="471" t="str">
        <x:f t="shared" si="42"/>
        <x:v/>
      </x:c>
      <x:c r="AI34" s="471" t="str">
        <x:f t="shared" si="43"/>
        <x:v/>
      </x:c>
      <x:c r="AJ34" s="87"/>
      <x:c r="AK34" s="374" t="str">
        <x:f>IF($AQ34="","",IF(OR($AL34="",$AL34="도비"),"",CONCATENATE($AQ34,"-",COUNTIF($AQ$8:$AQ34,$AQ34))))</x:f>
        <x:v/>
      </x:c>
      <x:c r="AL34" s="374" t="str">
        <x:f t="shared" si="44"/>
        <x:v/>
      </x:c>
      <x:c r="AM34" s="87"/>
      <x:c r="AN34" s="375" t="str">
        <x:f>IF($AQ34="","",IF(OR($AO34="",$AO34="국비",$AO34="자체"),"",CONCATENATE($AQ34,"-",$AO34,"-",COUNTIF($AQ$8:$AQ34,$AQ34))))</x:f>
        <x:v/>
      </x:c>
      <x:c r="AO34" s="375" t="str">
        <x:f t="shared" si="45"/>
        <x:v/>
      </x:c>
      <x:c r="AP34" s="87"/>
      <x:c r="AQ34" s="374" t="str">
        <x:f t="array" ref="AQ34:AQ34">IF(OR($D34="",$C34="직접입력",$B34="직접입력"),"",INDEX(구분표!$I$2:$I$337,MATCH(1,(구분표!$G$2:$G$337='3. 일입'!$B34)*(구분표!$E$2:$E$337='3. 일입'!$C34)*(구분표!$F$2:$F$337='3. 일입'!$D34),0)))</x:f>
        <x:v/>
      </x:c>
      <x:c r="AR34" s="87"/>
      <x:c r="AS34" s="472" t="str">
        <x:f>IF($AK34="","",SUMIFS('3. 일출(의존)'!$AB$7:$AB$1989,'3. 일출(의존)'!$AN$7:$AN$1989,$AK34))</x:f>
        <x:v/>
      </x:c>
      <x:c r="AT34" s="377" t="str">
        <x:f>IF($AK34="","",COUNTIF('3. 일출(의존)'!$AN$7:$AN$1989,$AK34))</x:f>
        <x:v/>
      </x:c>
      <x:c r="AU34" s="374" t="str">
        <x:f t="shared" si="46"/>
        <x:v/>
      </x:c>
      <x:c r="AV34" s="472" t="str">
        <x:f>IF($AN34="","",IF($AO34="지역개발기금",SUMIFS('3. 일출(의존)'!$AE$8:$AE$2000,'3. 일출(의존)'!$AS$8:$AS$2000,$AN34)+SUMIFS('3. 일출(자체)'!$AE$8:$AE$2000,'3. 일출(자체)'!$AM$8:$AM$2000,$AN34),IF($AO34="지방채",SUMIFS('3. 일출(의존)'!$AD$8:$AD$2000,'3. 일출(의존)'!$AS$8:$AS$2000,$AN34)+SUMIFS('3. 일출(자체)'!$AD$8:$AD$2000,'3. 일출(자체)'!$AM$8:$AM$2000,$AN34),0)))</x:f>
        <x:v/>
      </x:c>
      <x:c r="AW34" s="377" t="str">
        <x:f>IF($AN34="","",COUNTIF('3. 일출(의존)'!$AS$8:$AS$2000,$AN34)+COUNTIF('3. 일출(자체)'!$AM$8:$AM$2000,$AN34))</x:f>
        <x:v/>
      </x:c>
      <x:c r="AX34" s="374" t="str">
        <x:f t="shared" si="47"/>
        <x:v/>
      </x:c>
      <x:c r="AY34" s="91"/>
      <x:c r="AZ34" s="472" t="str">
        <x:f>IF($AK34="","",SUMIFS('3. 일출(의존)'!$AH$8:$AH$1989,'3. 일출(의존)'!$AN$8:$AN$1989,$AK34))</x:f>
        <x:v/>
      </x:c>
      <x:c r="BA34" s="377" t="str">
        <x:f>IF($AK34="","",COUNTIF('3. 일출(의존)'!$AN$7:$AN$1989,$AK34))</x:f>
        <x:v/>
      </x:c>
      <x:c r="BB34" s="374" t="str">
        <x:f t="shared" si="48"/>
        <x:v/>
      </x:c>
      <x:c r="BC34" s="472" t="str">
        <x:f>IF($AN34="","",IF($AO34="지역개발기금",SUMIFS('3. 일출(의존)'!$AK$8:$AK$2000,'3. 일출(의존)'!$AS$8:$AS$2000,$AN34)+SUMIFS('3. 일출(자체)'!$AJ$8:$AJ$2000,'3. 일출(자체)'!$AM$8:$AM$2000,$AN34),IF($AO34="지방채",SUMIFS('3. 일출(의존)'!$AJ$8:$AJ$2000,'3. 일출(의존)'!$AS$8:$AS$2000,$AN34)+SUMIFS('3. 일출(자체)'!$AI$8:$AI$2000,'3. 일출(자체)'!$AM$8:$AM$2000,$AN34),0)))</x:f>
        <x:v/>
      </x:c>
      <x:c r="BD34" s="377" t="str">
        <x:f>IF($AN34="","",COUNTIF('3. 일출(의존)'!$AS$8:$AS$2000,$AN34)+COUNTIF('3. 일출(자체)'!$AM$8:$AM$2000,$AN34))</x:f>
        <x:v/>
      </x:c>
      <x:c r="BE34" s="374" t="str">
        <x:f t="shared" si="49"/>
        <x:v/>
      </x:c>
    </x:row>
    <x:row r="35" spans="1:57" s="20" customFormat="1" ht="80.099999999999994" customHeight="1">
      <x:c r="A35" s="155" t="str">
        <x:f>IF(D35="","",COUNTA($C$8:C35)-COUNTBLANK($C$8:C35)+2)</x:f>
        <x:v/>
      </x:c>
      <x:c r="B35" s="156" t="str">
        <x: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x:f>
        <x:v/>
      </x:c>
      <x:c r="C35" s="156" t="str">
        <x:f>IF(D35="","",IF(OR(D35="교육지원과",D35="총무과",D35="인사과"),"직접입력",VLOOKUP(D35,구분표!$A$3:$C$258,3,)))</x:f>
        <x:v/>
      </x:c>
      <x:c r="D35" s="219"/>
      <x:c r="E35" s="213"/>
      <x:c r="F35" s="388" t="str">
        <x:f t="shared" si="50"/>
        <x:v/>
      </x:c>
      <x:c r="G35" s="388" t="str">
        <x:f t="shared" si="50"/>
        <x:v/>
      </x:c>
      <x:c r="H35" s="213"/>
      <x:c r="I35" s="156" t="str">
        <x:f>IF(H35="","",VLOOKUP($H35,구분표!$O$3:$P$168,2,FALSE))</x:f>
        <x:v/>
      </x:c>
      <x:c r="J35" s="215"/>
      <x:c r="K35" s="459" t="str">
        <x:f t="shared" si="51"/>
        <x:v/>
      </x:c>
      <x:c r="L35" s="459" t="str">
        <x:f t="shared" si="52"/>
        <x:v/>
      </x:c>
      <x:c r="M35" s="461" t="str">
        <x:f t="shared" si="31"/>
        <x:v/>
      </x:c>
      <x:c r="N35" s="460"/>
      <x:c r="O35" s="461">
        <x:f t="shared" si="32"/>
        <x:v>0</x:v>
      </x:c>
      <x:c r="P35" s="462"/>
      <x:c r="Q35" s="463">
        <x:f t="shared" si="33"/>
        <x:v>0</x:v>
      </x:c>
      <x:c r="R35" s="162" t="str">
        <x:f t="shared" si="34"/>
        <x:v>X</x:v>
      </x:c>
      <x:c r="S35" s="216"/>
      <x:c r="T35" s="327"/>
      <x:c r="U35" s="217"/>
      <x:c r="V35" s="203"/>
      <x:c r="W35" s="217"/>
      <x:c r="X35" s="217"/>
      <x:c r="Y35" s="162" t="str">
        <x:f t="shared" si="35"/>
        <x:v/>
      </x:c>
      <x:c r="Z35" s="45"/>
      <x:c r="AA35" s="471" t="str">
        <x:f t="shared" si="36"/>
        <x:v/>
      </x:c>
      <x:c r="AB35" s="471" t="str">
        <x:f t="shared" si="37"/>
        <x:v/>
      </x:c>
      <x:c r="AC35" s="471" t="str">
        <x:f t="shared" si="38"/>
        <x:v/>
      </x:c>
      <x:c r="AD35" s="471" t="str">
        <x:f t="shared" si="39"/>
        <x:v/>
      </x:c>
      <x:c r="AE35" s="46"/>
      <x:c r="AF35" s="471" t="str">
        <x:f t="shared" si="40"/>
        <x:v/>
      </x:c>
      <x:c r="AG35" s="471" t="str">
        <x:f t="shared" si="41"/>
        <x:v/>
      </x:c>
      <x:c r="AH35" s="471" t="str">
        <x:f t="shared" si="42"/>
        <x:v/>
      </x:c>
      <x:c r="AI35" s="471" t="str">
        <x:f t="shared" si="43"/>
        <x:v/>
      </x:c>
      <x:c r="AJ35" s="87"/>
      <x:c r="AK35" s="374" t="str">
        <x:f>IF($AQ35="","",IF(OR($AL35="",$AL35="도비"),"",CONCATENATE($AQ35,"-",COUNTIF($AQ$8:$AQ35,$AQ35))))</x:f>
        <x:v/>
      </x:c>
      <x:c r="AL35" s="374" t="str">
        <x:f t="shared" si="44"/>
        <x:v/>
      </x:c>
      <x:c r="AM35" s="87"/>
      <x:c r="AN35" s="375" t="str">
        <x:f>IF($AQ35="","",IF(OR($AO35="",$AO35="국비",$AO35="자체"),"",CONCATENATE($AQ35,"-",$AO35,"-",COUNTIF($AQ$8:$AQ35,$AQ35))))</x:f>
        <x:v/>
      </x:c>
      <x:c r="AO35" s="375" t="str">
        <x:f t="shared" si="45"/>
        <x:v/>
      </x:c>
      <x:c r="AP35" s="87"/>
      <x:c r="AQ35" s="374" t="str">
        <x:f t="array" ref="AQ35:AQ35">IF(OR($D35="",$C35="직접입력",$B35="직접입력"),"",INDEX(구분표!$I$2:$I$337,MATCH(1,(구분표!$G$2:$G$337='3. 일입'!$B35)*(구분표!$E$2:$E$337='3. 일입'!$C35)*(구분표!$F$2:$F$337='3. 일입'!$D35),0)))</x:f>
        <x:v/>
      </x:c>
      <x:c r="AR35" s="87"/>
      <x:c r="AS35" s="472" t="str">
        <x:f>IF($AK35="","",SUMIFS('3. 일출(의존)'!$AB$7:$AB$1989,'3. 일출(의존)'!$AN$7:$AN$1989,$AK35))</x:f>
        <x:v/>
      </x:c>
      <x:c r="AT35" s="377" t="str">
        <x:f>IF($AK35="","",COUNTIF('3. 일출(의존)'!$AN$7:$AN$1989,$AK35))</x:f>
        <x:v/>
      </x:c>
      <x:c r="AU35" s="374" t="str">
        <x:f t="shared" si="46"/>
        <x:v/>
      </x:c>
      <x:c r="AV35" s="472" t="str">
        <x:f>IF($AN35="","",IF($AO35="지역개발기금",SUMIFS('3. 일출(의존)'!$AE$8:$AE$2000,'3. 일출(의존)'!$AS$8:$AS$2000,$AN35)+SUMIFS('3. 일출(자체)'!$AE$8:$AE$2000,'3. 일출(자체)'!$AM$8:$AM$2000,$AN35),IF($AO35="지방채",SUMIFS('3. 일출(의존)'!$AD$8:$AD$2000,'3. 일출(의존)'!$AS$8:$AS$2000,$AN35)+SUMIFS('3. 일출(자체)'!$AD$8:$AD$2000,'3. 일출(자체)'!$AM$8:$AM$2000,$AN35),0)))</x:f>
        <x:v/>
      </x:c>
      <x:c r="AW35" s="377" t="str">
        <x:f>IF($AN35="","",COUNTIF('3. 일출(의존)'!$AS$8:$AS$2000,$AN35)+COUNTIF('3. 일출(자체)'!$AM$8:$AM$2000,$AN35))</x:f>
        <x:v/>
      </x:c>
      <x:c r="AX35" s="374" t="str">
        <x:f t="shared" si="47"/>
        <x:v/>
      </x:c>
      <x:c r="AY35" s="91"/>
      <x:c r="AZ35" s="472" t="str">
        <x:f>IF($AK35="","",SUMIFS('3. 일출(의존)'!$AH$8:$AH$1989,'3. 일출(의존)'!$AN$8:$AN$1989,$AK35))</x:f>
        <x:v/>
      </x:c>
      <x:c r="BA35" s="377" t="str">
        <x:f>IF($AK35="","",COUNTIF('3. 일출(의존)'!$AN$7:$AN$1989,$AK35))</x:f>
        <x:v/>
      </x:c>
      <x:c r="BB35" s="374" t="str">
        <x:f t="shared" si="48"/>
        <x:v/>
      </x:c>
      <x:c r="BC35" s="472" t="str">
        <x:f>IF($AN35="","",IF($AO35="지역개발기금",SUMIFS('3. 일출(의존)'!$AK$8:$AK$2000,'3. 일출(의존)'!$AS$8:$AS$2000,$AN35)+SUMIFS('3. 일출(자체)'!$AJ$8:$AJ$2000,'3. 일출(자체)'!$AM$8:$AM$2000,$AN35),IF($AO35="지방채",SUMIFS('3. 일출(의존)'!$AJ$8:$AJ$2000,'3. 일출(의존)'!$AS$8:$AS$2000,$AN35)+SUMIFS('3. 일출(자체)'!$AI$8:$AI$2000,'3. 일출(자체)'!$AM$8:$AM$2000,$AN35),0)))</x:f>
        <x:v/>
      </x:c>
      <x:c r="BD35" s="377" t="str">
        <x:f>IF($AN35="","",COUNTIF('3. 일출(의존)'!$AS$8:$AS$2000,$AN35)+COUNTIF('3. 일출(자체)'!$AM$8:$AM$2000,$AN35))</x:f>
        <x:v/>
      </x:c>
      <x:c r="BE35" s="374" t="str">
        <x:f t="shared" si="49"/>
        <x:v/>
      </x:c>
    </x:row>
    <x:row r="36" spans="1:57" s="20" customFormat="1" ht="80.099999999999994" customHeight="1">
      <x:c r="A36" s="155" t="str">
        <x:f>IF(D36="","",COUNTA($C$8:C36)-COUNTBLANK($C$8:C36)+2)</x:f>
        <x:v/>
      </x:c>
      <x:c r="B36" s="156" t="str">
        <x: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x:f>
        <x:v/>
      </x:c>
      <x:c r="C36" s="156" t="str">
        <x:f>IF(D36="","",IF(OR(D36="교육지원과",D36="총무과",D36="인사과"),"직접입력",VLOOKUP(D36,구분표!$A$3:$C$258,3,)))</x:f>
        <x:v/>
      </x:c>
      <x:c r="D36" s="219"/>
      <x:c r="E36" s="213"/>
      <x:c r="F36" s="388" t="str">
        <x:f t="shared" si="50"/>
        <x:v/>
      </x:c>
      <x:c r="G36" s="388" t="str">
        <x:f t="shared" si="50"/>
        <x:v/>
      </x:c>
      <x:c r="H36" s="213"/>
      <x:c r="I36" s="156" t="str">
        <x:f>IF(H36="","",VLOOKUP($H36,구분표!$O$3:$P$168,2,FALSE))</x:f>
        <x:v/>
      </x:c>
      <x:c r="J36" s="215"/>
      <x:c r="K36" s="459" t="str">
        <x:f t="shared" si="51"/>
        <x:v/>
      </x:c>
      <x:c r="L36" s="459" t="str">
        <x:f t="shared" si="52"/>
        <x:v/>
      </x:c>
      <x:c r="M36" s="461" t="str">
        <x:f t="shared" si="31"/>
        <x:v/>
      </x:c>
      <x:c r="N36" s="460"/>
      <x:c r="O36" s="461">
        <x:f t="shared" si="32"/>
        <x:v>0</x:v>
      </x:c>
      <x:c r="P36" s="462"/>
      <x:c r="Q36" s="463">
        <x:f t="shared" si="33"/>
        <x:v>0</x:v>
      </x:c>
      <x:c r="R36" s="162" t="str">
        <x:f t="shared" si="34"/>
        <x:v>X</x:v>
      </x:c>
      <x:c r="S36" s="216"/>
      <x:c r="T36" s="327"/>
      <x:c r="U36" s="217"/>
      <x:c r="V36" s="203"/>
      <x:c r="W36" s="217"/>
      <x:c r="X36" s="217"/>
      <x:c r="Y36" s="162" t="str">
        <x:f t="shared" si="35"/>
        <x:v/>
      </x:c>
      <x:c r="Z36" s="45"/>
      <x:c r="AA36" s="471" t="str">
        <x:f t="shared" si="36"/>
        <x:v/>
      </x:c>
      <x:c r="AB36" s="471" t="str">
        <x:f t="shared" si="37"/>
        <x:v/>
      </x:c>
      <x:c r="AC36" s="471" t="str">
        <x:f t="shared" si="38"/>
        <x:v/>
      </x:c>
      <x:c r="AD36" s="471" t="str">
        <x:f t="shared" si="39"/>
        <x:v/>
      </x:c>
      <x:c r="AE36" s="46"/>
      <x:c r="AF36" s="471" t="str">
        <x:f t="shared" si="40"/>
        <x:v/>
      </x:c>
      <x:c r="AG36" s="471" t="str">
        <x:f t="shared" si="41"/>
        <x:v/>
      </x:c>
      <x:c r="AH36" s="471" t="str">
        <x:f t="shared" si="42"/>
        <x:v/>
      </x:c>
      <x:c r="AI36" s="471" t="str">
        <x:f t="shared" si="43"/>
        <x:v/>
      </x:c>
      <x:c r="AJ36" s="87"/>
      <x:c r="AK36" s="374" t="str">
        <x:f>IF($AQ36="","",IF(OR($AL36="",$AL36="도비"),"",CONCATENATE($AQ36,"-",COUNTIF($AQ$8:$AQ36,$AQ36))))</x:f>
        <x:v/>
      </x:c>
      <x:c r="AL36" s="374" t="str">
        <x:f t="shared" si="44"/>
        <x:v/>
      </x:c>
      <x:c r="AM36" s="87"/>
      <x:c r="AN36" s="375" t="str">
        <x:f>IF($AQ36="","",IF(OR($AO36="",$AO36="국비",$AO36="자체"),"",CONCATENATE($AQ36,"-",$AO36,"-",COUNTIF($AQ$8:$AQ36,$AQ36))))</x:f>
        <x:v/>
      </x:c>
      <x:c r="AO36" s="375" t="str">
        <x:f t="shared" si="45"/>
        <x:v/>
      </x:c>
      <x:c r="AP36" s="87"/>
      <x:c r="AQ36" s="374" t="str">
        <x:f t="array" ref="AQ36:AQ36">IF(OR($D36="",$C36="직접입력",$B36="직접입력"),"",INDEX(구분표!$I$2:$I$337,MATCH(1,(구분표!$G$2:$G$337='3. 일입'!$B36)*(구분표!$E$2:$E$337='3. 일입'!$C36)*(구분표!$F$2:$F$337='3. 일입'!$D36),0)))</x:f>
        <x:v/>
      </x:c>
      <x:c r="AR36" s="87"/>
      <x:c r="AS36" s="472" t="str">
        <x:f>IF($AK36="","",SUMIFS('3. 일출(의존)'!$AB$7:$AB$1989,'3. 일출(의존)'!$AN$7:$AN$1989,$AK36))</x:f>
        <x:v/>
      </x:c>
      <x:c r="AT36" s="377" t="str">
        <x:f>IF($AK36="","",COUNTIF('3. 일출(의존)'!$AN$7:$AN$1989,$AK36))</x:f>
        <x:v/>
      </x:c>
      <x:c r="AU36" s="374" t="str">
        <x:f t="shared" si="46"/>
        <x:v/>
      </x:c>
      <x:c r="AV36" s="472" t="str">
        <x:f>IF($AN36="","",IF($AO36="지역개발기금",SUMIFS('3. 일출(의존)'!$AE$8:$AE$2000,'3. 일출(의존)'!$AS$8:$AS$2000,$AN36)+SUMIFS('3. 일출(자체)'!$AE$8:$AE$2000,'3. 일출(자체)'!$AM$8:$AM$2000,$AN36),IF($AO36="지방채",SUMIFS('3. 일출(의존)'!$AD$8:$AD$2000,'3. 일출(의존)'!$AS$8:$AS$2000,$AN36)+SUMIFS('3. 일출(자체)'!$AD$8:$AD$2000,'3. 일출(자체)'!$AM$8:$AM$2000,$AN36),0)))</x:f>
        <x:v/>
      </x:c>
      <x:c r="AW36" s="377" t="str">
        <x:f>IF($AN36="","",COUNTIF('3. 일출(의존)'!$AS$8:$AS$2000,$AN36)+COUNTIF('3. 일출(자체)'!$AM$8:$AM$2000,$AN36))</x:f>
        <x:v/>
      </x:c>
      <x:c r="AX36" s="374" t="str">
        <x:f t="shared" si="47"/>
        <x:v/>
      </x:c>
      <x:c r="AY36" s="91"/>
      <x:c r="AZ36" s="472" t="str">
        <x:f>IF($AK36="","",SUMIFS('3. 일출(의존)'!$AH$8:$AH$1989,'3. 일출(의존)'!$AN$8:$AN$1989,$AK36))</x:f>
        <x:v/>
      </x:c>
      <x:c r="BA36" s="377" t="str">
        <x:f>IF($AK36="","",COUNTIF('3. 일출(의존)'!$AN$7:$AN$1989,$AK36))</x:f>
        <x:v/>
      </x:c>
      <x:c r="BB36" s="374" t="str">
        <x:f t="shared" si="48"/>
        <x:v/>
      </x:c>
      <x:c r="BC36" s="472" t="str">
        <x:f>IF($AN36="","",IF($AO36="지역개발기금",SUMIFS('3. 일출(의존)'!$AK$8:$AK$2000,'3. 일출(의존)'!$AS$8:$AS$2000,$AN36)+SUMIFS('3. 일출(자체)'!$AJ$8:$AJ$2000,'3. 일출(자체)'!$AM$8:$AM$2000,$AN36),IF($AO36="지방채",SUMIFS('3. 일출(의존)'!$AJ$8:$AJ$2000,'3. 일출(의존)'!$AS$8:$AS$2000,$AN36)+SUMIFS('3. 일출(자체)'!$AI$8:$AI$2000,'3. 일출(자체)'!$AM$8:$AM$2000,$AN36),0)))</x:f>
        <x:v/>
      </x:c>
      <x:c r="BD36" s="377" t="str">
        <x:f>IF($AN36="","",COUNTIF('3. 일출(의존)'!$AS$8:$AS$2000,$AN36)+COUNTIF('3. 일출(자체)'!$AM$8:$AM$2000,$AN36))</x:f>
        <x:v/>
      </x:c>
      <x:c r="BE36" s="374" t="str">
        <x:f t="shared" si="49"/>
        <x:v/>
      </x:c>
    </x:row>
    <x:row r="37" spans="1:57" s="20" customFormat="1" ht="80.099999999999994" customHeight="1">
      <x:c r="A37" s="155" t="str">
        <x:f>IF(D37="","",COUNTA($C$8:C37)-COUNTBLANK($C$8:C37)+2)</x:f>
        <x:v/>
      </x:c>
      <x:c r="B37" s="156" t="str">
        <x: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x:f>
        <x:v/>
      </x:c>
      <x:c r="C37" s="156" t="str">
        <x:f>IF(D37="","",IF(OR(D37="교육지원과",D37="총무과",D37="인사과"),"직접입력",VLOOKUP(D37,구분표!$A$3:$C$258,3,)))</x:f>
        <x:v/>
      </x:c>
      <x:c r="D37" s="219"/>
      <x:c r="E37" s="213"/>
      <x:c r="F37" s="388" t="str">
        <x:f t="shared" si="50"/>
        <x:v/>
      </x:c>
      <x:c r="G37" s="388" t="str">
        <x:f t="shared" si="50"/>
        <x:v/>
      </x:c>
      <x:c r="H37" s="213"/>
      <x:c r="I37" s="156" t="str">
        <x:f>IF(H37="","",VLOOKUP($H37,구분표!$O$3:$P$168,2,FALSE))</x:f>
        <x:v/>
      </x:c>
      <x:c r="J37" s="215"/>
      <x:c r="K37" s="459" t="str">
        <x:f t="shared" si="51"/>
        <x:v/>
      </x:c>
      <x:c r="L37" s="459" t="str">
        <x:f t="shared" si="52"/>
        <x:v/>
      </x:c>
      <x:c r="M37" s="461" t="str">
        <x:f t="shared" si="31"/>
        <x:v/>
      </x:c>
      <x:c r="N37" s="460"/>
      <x:c r="O37" s="461">
        <x:f t="shared" si="32"/>
        <x:v>0</x:v>
      </x:c>
      <x:c r="P37" s="462"/>
      <x:c r="Q37" s="463">
        <x:f t="shared" si="33"/>
        <x:v>0</x:v>
      </x:c>
      <x:c r="R37" s="162" t="str">
        <x:f t="shared" si="34"/>
        <x:v>X</x:v>
      </x:c>
      <x:c r="S37" s="216"/>
      <x:c r="T37" s="327"/>
      <x:c r="U37" s="217"/>
      <x:c r="V37" s="203"/>
      <x:c r="W37" s="217"/>
      <x:c r="X37" s="217"/>
      <x:c r="Y37" s="162" t="str">
        <x:f t="shared" si="35"/>
        <x:v/>
      </x:c>
      <x:c r="Z37" s="45"/>
      <x:c r="AA37" s="471" t="str">
        <x:f t="shared" si="36"/>
        <x:v/>
      </x:c>
      <x:c r="AB37" s="471" t="str">
        <x:f t="shared" si="37"/>
        <x:v/>
      </x:c>
      <x:c r="AC37" s="471" t="str">
        <x:f t="shared" si="38"/>
        <x:v/>
      </x:c>
      <x:c r="AD37" s="471" t="str">
        <x:f t="shared" si="39"/>
        <x:v/>
      </x:c>
      <x:c r="AE37" s="46"/>
      <x:c r="AF37" s="471" t="str">
        <x:f t="shared" si="40"/>
        <x:v/>
      </x:c>
      <x:c r="AG37" s="471" t="str">
        <x:f t="shared" si="41"/>
        <x:v/>
      </x:c>
      <x:c r="AH37" s="471" t="str">
        <x:f t="shared" si="42"/>
        <x:v/>
      </x:c>
      <x:c r="AI37" s="471" t="str">
        <x:f t="shared" si="43"/>
        <x:v/>
      </x:c>
      <x:c r="AJ37" s="87"/>
      <x:c r="AK37" s="374" t="str">
        <x:f>IF($AQ37="","",IF(OR($AL37="",$AL37="도비"),"",CONCATENATE($AQ37,"-",COUNTIF($AQ$8:$AQ37,$AQ37))))</x:f>
        <x:v/>
      </x:c>
      <x:c r="AL37" s="374" t="str">
        <x:f t="shared" si="44"/>
        <x:v/>
      </x:c>
      <x:c r="AM37" s="87"/>
      <x:c r="AN37" s="375" t="str">
        <x:f>IF($AQ37="","",IF(OR($AO37="",$AO37="국비",$AO37="자체"),"",CONCATENATE($AQ37,"-",$AO37,"-",COUNTIF($AQ$8:$AQ37,$AQ37))))</x:f>
        <x:v/>
      </x:c>
      <x:c r="AO37" s="375" t="str">
        <x:f t="shared" si="45"/>
        <x:v/>
      </x:c>
      <x:c r="AP37" s="87"/>
      <x:c r="AQ37" s="374" t="str">
        <x:f t="array" ref="AQ37:AQ37">IF(OR($D37="",$C37="직접입력",$B37="직접입력"),"",INDEX(구분표!$I$2:$I$337,MATCH(1,(구분표!$G$2:$G$337='3. 일입'!$B37)*(구분표!$E$2:$E$337='3. 일입'!$C37)*(구분표!$F$2:$F$337='3. 일입'!$D37),0)))</x:f>
        <x:v/>
      </x:c>
      <x:c r="AR37" s="87"/>
      <x:c r="AS37" s="472" t="str">
        <x:f>IF($AK37="","",SUMIFS('3. 일출(의존)'!$AB$7:$AB$1989,'3. 일출(의존)'!$AN$7:$AN$1989,$AK37))</x:f>
        <x:v/>
      </x:c>
      <x:c r="AT37" s="377" t="str">
        <x:f>IF($AK37="","",COUNTIF('3. 일출(의존)'!$AN$7:$AN$1989,$AK37))</x:f>
        <x:v/>
      </x:c>
      <x:c r="AU37" s="374" t="str">
        <x:f t="shared" si="46"/>
        <x:v/>
      </x:c>
      <x:c r="AV37" s="472" t="str">
        <x:f>IF($AN37="","",IF($AO37="지역개발기금",SUMIFS('3. 일출(의존)'!$AE$8:$AE$2000,'3. 일출(의존)'!$AS$8:$AS$2000,$AN37)+SUMIFS('3. 일출(자체)'!$AE$8:$AE$2000,'3. 일출(자체)'!$AM$8:$AM$2000,$AN37),IF($AO37="지방채",SUMIFS('3. 일출(의존)'!$AD$8:$AD$2000,'3. 일출(의존)'!$AS$8:$AS$2000,$AN37)+SUMIFS('3. 일출(자체)'!$AD$8:$AD$2000,'3. 일출(자체)'!$AM$8:$AM$2000,$AN37),0)))</x:f>
        <x:v/>
      </x:c>
      <x:c r="AW37" s="377" t="str">
        <x:f>IF($AN37="","",COUNTIF('3. 일출(의존)'!$AS$8:$AS$2000,$AN37)+COUNTIF('3. 일출(자체)'!$AM$8:$AM$2000,$AN37))</x:f>
        <x:v/>
      </x:c>
      <x:c r="AX37" s="374" t="str">
        <x:f t="shared" si="47"/>
        <x:v/>
      </x:c>
      <x:c r="AY37" s="91"/>
      <x:c r="AZ37" s="472" t="str">
        <x:f>IF($AK37="","",SUMIFS('3. 일출(의존)'!$AH$8:$AH$1989,'3. 일출(의존)'!$AN$8:$AN$1989,$AK37))</x:f>
        <x:v/>
      </x:c>
      <x:c r="BA37" s="377" t="str">
        <x:f>IF($AK37="","",COUNTIF('3. 일출(의존)'!$AN$7:$AN$1989,$AK37))</x:f>
        <x:v/>
      </x:c>
      <x:c r="BB37" s="374" t="str">
        <x:f t="shared" si="48"/>
        <x:v/>
      </x:c>
      <x:c r="BC37" s="472" t="str">
        <x:f>IF($AN37="","",IF($AO37="지역개발기금",SUMIFS('3. 일출(의존)'!$AK$8:$AK$2000,'3. 일출(의존)'!$AS$8:$AS$2000,$AN37)+SUMIFS('3. 일출(자체)'!$AJ$8:$AJ$2000,'3. 일출(자체)'!$AM$8:$AM$2000,$AN37),IF($AO37="지방채",SUMIFS('3. 일출(의존)'!$AJ$8:$AJ$2000,'3. 일출(의존)'!$AS$8:$AS$2000,$AN37)+SUMIFS('3. 일출(자체)'!$AI$8:$AI$2000,'3. 일출(자체)'!$AM$8:$AM$2000,$AN37),0)))</x:f>
        <x:v/>
      </x:c>
      <x:c r="BD37" s="377" t="str">
        <x:f>IF($AN37="","",COUNTIF('3. 일출(의존)'!$AS$8:$AS$2000,$AN37)+COUNTIF('3. 일출(자체)'!$AM$8:$AM$2000,$AN37))</x:f>
        <x:v/>
      </x:c>
      <x:c r="BE37" s="374" t="str">
        <x:f t="shared" si="49"/>
        <x:v/>
      </x:c>
    </x:row>
    <x:row r="38" spans="1:57" s="20" customFormat="1" ht="80.099999999999994" customHeight="1">
      <x:c r="A38" s="155" t="str">
        <x:f>IF(D38="","",COUNTA($C$8:C38)-COUNTBLANK($C$8:C38)+2)</x:f>
        <x:v/>
      </x:c>
      <x:c r="B38" s="156" t="str">
        <x: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x:f>
        <x:v/>
      </x:c>
      <x:c r="C38" s="156" t="str">
        <x:f>IF(D38="","",IF(OR(D38="교육지원과",D38="총무과",D38="인사과"),"직접입력",VLOOKUP(D38,구분표!$A$3:$C$258,3,)))</x:f>
        <x:v/>
      </x:c>
      <x:c r="D38" s="219"/>
      <x:c r="E38" s="213"/>
      <x:c r="F38" s="388" t="str">
        <x:f t="shared" si="50"/>
        <x:v/>
      </x:c>
      <x:c r="G38" s="388" t="str">
        <x:f t="shared" si="50"/>
        <x:v/>
      </x:c>
      <x:c r="H38" s="213"/>
      <x:c r="I38" s="156" t="str">
        <x:f>IF(H38="","",VLOOKUP($H38,구분표!$O$3:$P$168,2,FALSE))</x:f>
        <x:v/>
      </x:c>
      <x:c r="J38" s="215"/>
      <x:c r="K38" s="459" t="str">
        <x:f t="shared" si="51"/>
        <x:v/>
      </x:c>
      <x:c r="L38" s="459" t="str">
        <x:f t="shared" si="52"/>
        <x:v/>
      </x:c>
      <x:c r="M38" s="461" t="str">
        <x:f t="shared" si="31"/>
        <x:v/>
      </x:c>
      <x:c r="N38" s="460"/>
      <x:c r="O38" s="461">
        <x:f t="shared" si="32"/>
        <x:v>0</x:v>
      </x:c>
      <x:c r="P38" s="462"/>
      <x:c r="Q38" s="463">
        <x:f t="shared" si="33"/>
        <x:v>0</x:v>
      </x:c>
      <x:c r="R38" s="162" t="str">
        <x:f t="shared" si="34"/>
        <x:v>X</x:v>
      </x:c>
      <x:c r="S38" s="216"/>
      <x:c r="T38" s="327"/>
      <x:c r="U38" s="217"/>
      <x:c r="V38" s="203"/>
      <x:c r="W38" s="217"/>
      <x:c r="X38" s="217"/>
      <x:c r="Y38" s="162" t="str">
        <x:f t="shared" si="35"/>
        <x:v/>
      </x:c>
      <x:c r="Z38" s="45"/>
      <x:c r="AA38" s="471" t="str">
        <x:f t="shared" si="36"/>
        <x:v/>
      </x:c>
      <x:c r="AB38" s="471" t="str">
        <x:f t="shared" si="37"/>
        <x:v/>
      </x:c>
      <x:c r="AC38" s="471" t="str">
        <x:f t="shared" si="38"/>
        <x:v/>
      </x:c>
      <x:c r="AD38" s="471" t="str">
        <x:f t="shared" si="39"/>
        <x:v/>
      </x:c>
      <x:c r="AE38" s="46"/>
      <x:c r="AF38" s="471" t="str">
        <x:f t="shared" si="40"/>
        <x:v/>
      </x:c>
      <x:c r="AG38" s="471" t="str">
        <x:f t="shared" si="41"/>
        <x:v/>
      </x:c>
      <x:c r="AH38" s="471" t="str">
        <x:f t="shared" si="42"/>
        <x:v/>
      </x:c>
      <x:c r="AI38" s="471" t="str">
        <x:f t="shared" si="43"/>
        <x:v/>
      </x:c>
      <x:c r="AJ38" s="87"/>
      <x:c r="AK38" s="374" t="str">
        <x:f>IF($AQ38="","",IF(OR($AL38="",$AL38="도비"),"",CONCATENATE($AQ38,"-",COUNTIF($AQ$8:$AQ38,$AQ38))))</x:f>
        <x:v/>
      </x:c>
      <x:c r="AL38" s="374" t="str">
        <x:f t="shared" si="44"/>
        <x:v/>
      </x:c>
      <x:c r="AM38" s="87"/>
      <x:c r="AN38" s="375" t="str">
        <x:f>IF($AQ38="","",IF(OR($AO38="",$AO38="국비",$AO38="자체"),"",CONCATENATE($AQ38,"-",$AO38,"-",COUNTIF($AQ$8:$AQ38,$AQ38))))</x:f>
        <x:v/>
      </x:c>
      <x:c r="AO38" s="375" t="str">
        <x:f t="shared" si="45"/>
        <x:v/>
      </x:c>
      <x:c r="AP38" s="87"/>
      <x:c r="AQ38" s="374" t="str">
        <x:f t="array" ref="AQ38:AQ38">IF(OR($D38="",$C38="직접입력",$B38="직접입력"),"",INDEX(구분표!$I$2:$I$337,MATCH(1,(구분표!$G$2:$G$337='3. 일입'!$B38)*(구분표!$E$2:$E$337='3. 일입'!$C38)*(구분표!$F$2:$F$337='3. 일입'!$D38),0)))</x:f>
        <x:v/>
      </x:c>
      <x:c r="AR38" s="87"/>
      <x:c r="AS38" s="472" t="str">
        <x:f>IF($AK38="","",SUMIFS('3. 일출(의존)'!$AB$7:$AB$1989,'3. 일출(의존)'!$AN$7:$AN$1989,$AK38))</x:f>
        <x:v/>
      </x:c>
      <x:c r="AT38" s="377" t="str">
        <x:f>IF($AK38="","",COUNTIF('3. 일출(의존)'!$AN$7:$AN$1989,$AK38))</x:f>
        <x:v/>
      </x:c>
      <x:c r="AU38" s="374" t="str">
        <x:f t="shared" si="46"/>
        <x:v/>
      </x:c>
      <x:c r="AV38" s="472" t="str">
        <x:f>IF($AN38="","",IF($AO38="지역개발기금",SUMIFS('3. 일출(의존)'!$AE$8:$AE$2000,'3. 일출(의존)'!$AS$8:$AS$2000,$AN38)+SUMIFS('3. 일출(자체)'!$AE$8:$AE$2000,'3. 일출(자체)'!$AM$8:$AM$2000,$AN38),IF($AO38="지방채",SUMIFS('3. 일출(의존)'!$AD$8:$AD$2000,'3. 일출(의존)'!$AS$8:$AS$2000,$AN38)+SUMIFS('3. 일출(자체)'!$AD$8:$AD$2000,'3. 일출(자체)'!$AM$8:$AM$2000,$AN38),0)))</x:f>
        <x:v/>
      </x:c>
      <x:c r="AW38" s="377" t="str">
        <x:f>IF($AN38="","",COUNTIF('3. 일출(의존)'!$AS$8:$AS$2000,$AN38)+COUNTIF('3. 일출(자체)'!$AM$8:$AM$2000,$AN38))</x:f>
        <x:v/>
      </x:c>
      <x:c r="AX38" s="374" t="str">
        <x:f t="shared" si="47"/>
        <x:v/>
      </x:c>
      <x:c r="AY38" s="91"/>
      <x:c r="AZ38" s="472" t="str">
        <x:f>IF($AK38="","",SUMIFS('3. 일출(의존)'!$AH$8:$AH$1989,'3. 일출(의존)'!$AN$8:$AN$1989,$AK38))</x:f>
        <x:v/>
      </x:c>
      <x:c r="BA38" s="377" t="str">
        <x:f>IF($AK38="","",COUNTIF('3. 일출(의존)'!$AN$7:$AN$1989,$AK38))</x:f>
        <x:v/>
      </x:c>
      <x:c r="BB38" s="374" t="str">
        <x:f t="shared" si="48"/>
        <x:v/>
      </x:c>
      <x:c r="BC38" s="472" t="str">
        <x:f>IF($AN38="","",IF($AO38="지역개발기금",SUMIFS('3. 일출(의존)'!$AK$8:$AK$2000,'3. 일출(의존)'!$AS$8:$AS$2000,$AN38)+SUMIFS('3. 일출(자체)'!$AJ$8:$AJ$2000,'3. 일출(자체)'!$AM$8:$AM$2000,$AN38),IF($AO38="지방채",SUMIFS('3. 일출(의존)'!$AJ$8:$AJ$2000,'3. 일출(의존)'!$AS$8:$AS$2000,$AN38)+SUMIFS('3. 일출(자체)'!$AI$8:$AI$2000,'3. 일출(자체)'!$AM$8:$AM$2000,$AN38),0)))</x:f>
        <x:v/>
      </x:c>
      <x:c r="BD38" s="377" t="str">
        <x:f>IF($AN38="","",COUNTIF('3. 일출(의존)'!$AS$8:$AS$2000,$AN38)+COUNTIF('3. 일출(자체)'!$AM$8:$AM$2000,$AN38))</x:f>
        <x:v/>
      </x:c>
      <x:c r="BE38" s="374" t="str">
        <x:f t="shared" si="49"/>
        <x:v/>
      </x:c>
    </x:row>
    <x:row r="39" spans="1:57" s="20" customFormat="1" ht="80.099999999999994" customHeight="1">
      <x:c r="A39" s="155" t="str">
        <x:f>IF(D39="","",COUNTA($C$8:C39)-COUNTBLANK($C$8:C39)+2)</x:f>
        <x:v/>
      </x:c>
      <x:c r="B39" s="156" t="str">
        <x: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x:f>
        <x:v/>
      </x:c>
      <x:c r="C39" s="156" t="str">
        <x:f>IF(D39="","",IF(OR(D39="교육지원과",D39="총무과",D39="인사과"),"직접입력",VLOOKUP(D39,구분표!$A$3:$C$258,3,)))</x:f>
        <x:v/>
      </x:c>
      <x:c r="D39" s="219"/>
      <x:c r="E39" s="213"/>
      <x:c r="F39" s="388" t="str">
        <x:f t="shared" si="50"/>
        <x:v/>
      </x:c>
      <x:c r="G39" s="388" t="str">
        <x:f t="shared" si="50"/>
        <x:v/>
      </x:c>
      <x:c r="H39" s="213"/>
      <x:c r="I39" s="156" t="str">
        <x:f>IF(H39="","",VLOOKUP($H39,구분표!$O$3:$P$168,2,FALSE))</x:f>
        <x:v/>
      </x:c>
      <x:c r="J39" s="215"/>
      <x:c r="K39" s="459" t="str">
        <x:f t="shared" si="51"/>
        <x:v/>
      </x:c>
      <x:c r="L39" s="459" t="str">
        <x:f t="shared" si="52"/>
        <x:v/>
      </x:c>
      <x:c r="M39" s="461" t="str">
        <x:f t="shared" si="31"/>
        <x:v/>
      </x:c>
      <x:c r="N39" s="460"/>
      <x:c r="O39" s="461">
        <x:f t="shared" si="32"/>
        <x:v>0</x:v>
      </x:c>
      <x:c r="P39" s="462"/>
      <x:c r="Q39" s="463">
        <x:f t="shared" si="33"/>
        <x:v>0</x:v>
      </x:c>
      <x:c r="R39" s="162" t="str">
        <x:f t="shared" si="34"/>
        <x:v>X</x:v>
      </x:c>
      <x:c r="S39" s="216"/>
      <x:c r="T39" s="327"/>
      <x:c r="U39" s="217"/>
      <x:c r="V39" s="203"/>
      <x:c r="W39" s="217"/>
      <x:c r="X39" s="217"/>
      <x:c r="Y39" s="162" t="str">
        <x:f t="shared" si="35"/>
        <x:v/>
      </x:c>
      <x:c r="Z39" s="45"/>
      <x:c r="AA39" s="471" t="str">
        <x:f t="shared" si="36"/>
        <x:v/>
      </x:c>
      <x:c r="AB39" s="471" t="str">
        <x:f t="shared" si="37"/>
        <x:v/>
      </x:c>
      <x:c r="AC39" s="471" t="str">
        <x:f t="shared" si="38"/>
        <x:v/>
      </x:c>
      <x:c r="AD39" s="471" t="str">
        <x:f t="shared" si="39"/>
        <x:v/>
      </x:c>
      <x:c r="AE39" s="46"/>
      <x:c r="AF39" s="471" t="str">
        <x:f t="shared" si="40"/>
        <x:v/>
      </x:c>
      <x:c r="AG39" s="471" t="str">
        <x:f t="shared" si="41"/>
        <x:v/>
      </x:c>
      <x:c r="AH39" s="471" t="str">
        <x:f t="shared" si="42"/>
        <x:v/>
      </x:c>
      <x:c r="AI39" s="471" t="str">
        <x:f t="shared" si="43"/>
        <x:v/>
      </x:c>
      <x:c r="AJ39" s="87"/>
      <x:c r="AK39" s="374" t="str">
        <x:f>IF($AQ39="","",IF(OR($AL39="",$AL39="도비"),"",CONCATENATE($AQ39,"-",COUNTIF($AQ$8:$AQ39,$AQ39))))</x:f>
        <x:v/>
      </x:c>
      <x:c r="AL39" s="374" t="str">
        <x:f t="shared" si="44"/>
        <x:v/>
      </x:c>
      <x:c r="AM39" s="87"/>
      <x:c r="AN39" s="375" t="str">
        <x:f>IF($AQ39="","",IF(OR($AO39="",$AO39="국비",$AO39="자체"),"",CONCATENATE($AQ39,"-",$AO39,"-",COUNTIF($AQ$8:$AQ39,$AQ39))))</x:f>
        <x:v/>
      </x:c>
      <x:c r="AO39" s="375" t="str">
        <x:f t="shared" si="45"/>
        <x:v/>
      </x:c>
      <x:c r="AP39" s="87"/>
      <x:c r="AQ39" s="374" t="str">
        <x:f t="array" ref="AQ39:AQ39">IF(OR($D39="",$C39="직접입력",$B39="직접입력"),"",INDEX(구분표!$I$2:$I$337,MATCH(1,(구분표!$G$2:$G$337='3. 일입'!$B39)*(구분표!$E$2:$E$337='3. 일입'!$C39)*(구분표!$F$2:$F$337='3. 일입'!$D39),0)))</x:f>
        <x:v/>
      </x:c>
      <x:c r="AR39" s="87"/>
      <x:c r="AS39" s="472" t="str">
        <x:f>IF($AK39="","",SUMIFS('3. 일출(의존)'!$AB$7:$AB$1989,'3. 일출(의존)'!$AN$7:$AN$1989,$AK39))</x:f>
        <x:v/>
      </x:c>
      <x:c r="AT39" s="377" t="str">
        <x:f>IF($AK39="","",COUNTIF('3. 일출(의존)'!$AN$7:$AN$1989,$AK39))</x:f>
        <x:v/>
      </x:c>
      <x:c r="AU39" s="374" t="str">
        <x:f t="shared" si="46"/>
        <x:v/>
      </x:c>
      <x:c r="AV39" s="472" t="str">
        <x:f>IF($AN39="","",IF($AO39="지역개발기금",SUMIFS('3. 일출(의존)'!$AE$8:$AE$2000,'3. 일출(의존)'!$AS$8:$AS$2000,$AN39)+SUMIFS('3. 일출(자체)'!$AE$8:$AE$2000,'3. 일출(자체)'!$AM$8:$AM$2000,$AN39),IF($AO39="지방채",SUMIFS('3. 일출(의존)'!$AD$8:$AD$2000,'3. 일출(의존)'!$AS$8:$AS$2000,$AN39)+SUMIFS('3. 일출(자체)'!$AD$8:$AD$2000,'3. 일출(자체)'!$AM$8:$AM$2000,$AN39),0)))</x:f>
        <x:v/>
      </x:c>
      <x:c r="AW39" s="377" t="str">
        <x:f>IF($AN39="","",COUNTIF('3. 일출(의존)'!$AS$8:$AS$2000,$AN39)+COUNTIF('3. 일출(자체)'!$AM$8:$AM$2000,$AN39))</x:f>
        <x:v/>
      </x:c>
      <x:c r="AX39" s="374" t="str">
        <x:f t="shared" si="47"/>
        <x:v/>
      </x:c>
      <x:c r="AY39" s="91"/>
      <x:c r="AZ39" s="472" t="str">
        <x:f>IF($AK39="","",SUMIFS('3. 일출(의존)'!$AH$8:$AH$1989,'3. 일출(의존)'!$AN$8:$AN$1989,$AK39))</x:f>
        <x:v/>
      </x:c>
      <x:c r="BA39" s="377" t="str">
        <x:f>IF($AK39="","",COUNTIF('3. 일출(의존)'!$AN$7:$AN$1989,$AK39))</x:f>
        <x:v/>
      </x:c>
      <x:c r="BB39" s="374" t="str">
        <x:f t="shared" si="48"/>
        <x:v/>
      </x:c>
      <x:c r="BC39" s="472" t="str">
        <x:f>IF($AN39="","",IF($AO39="지역개발기금",SUMIFS('3. 일출(의존)'!$AK$8:$AK$2000,'3. 일출(의존)'!$AS$8:$AS$2000,$AN39)+SUMIFS('3. 일출(자체)'!$AJ$8:$AJ$2000,'3. 일출(자체)'!$AM$8:$AM$2000,$AN39),IF($AO39="지방채",SUMIFS('3. 일출(의존)'!$AJ$8:$AJ$2000,'3. 일출(의존)'!$AS$8:$AS$2000,$AN39)+SUMIFS('3. 일출(자체)'!$AI$8:$AI$2000,'3. 일출(자체)'!$AM$8:$AM$2000,$AN39),0)))</x:f>
        <x:v/>
      </x:c>
      <x:c r="BD39" s="377" t="str">
        <x:f>IF($AN39="","",COUNTIF('3. 일출(의존)'!$AS$8:$AS$2000,$AN39)+COUNTIF('3. 일출(자체)'!$AM$8:$AM$2000,$AN39))</x:f>
        <x:v/>
      </x:c>
      <x:c r="BE39" s="374" t="str">
        <x:f t="shared" si="49"/>
        <x:v/>
      </x:c>
    </x:row>
    <x:row r="40" spans="1:57" s="20" customFormat="1" ht="80.099999999999994" customHeight="1">
      <x:c r="A40" s="155" t="str">
        <x:f>IF(D40="","",COUNTA($C$8:C40)-COUNTBLANK($C$8:C40)+2)</x:f>
        <x:v/>
      </x:c>
      <x:c r="B40" s="156" t="str">
        <x: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x:f>
        <x:v/>
      </x:c>
      <x:c r="C40" s="156" t="str">
        <x:f>IF(D40="","",IF(OR(D40="교육지원과",D40="총무과",D40="인사과"),"직접입력",VLOOKUP(D40,구분표!$A$3:$C$258,3,)))</x:f>
        <x:v/>
      </x:c>
      <x:c r="D40" s="219"/>
      <x:c r="E40" s="213"/>
      <x:c r="F40" s="388" t="str">
        <x:f t="shared" si="50"/>
        <x:v/>
      </x:c>
      <x:c r="G40" s="388" t="str">
        <x:f t="shared" si="50"/>
        <x:v/>
      </x:c>
      <x:c r="H40" s="213"/>
      <x:c r="I40" s="156" t="str">
        <x:f>IF(H40="","",VLOOKUP($H40,구분표!$O$3:$P$168,2,FALSE))</x:f>
        <x:v/>
      </x:c>
      <x:c r="J40" s="215"/>
      <x:c r="K40" s="459" t="str">
        <x:f t="shared" si="51"/>
        <x:v/>
      </x:c>
      <x:c r="L40" s="459" t="str">
        <x:f t="shared" si="52"/>
        <x:v/>
      </x:c>
      <x:c r="M40" s="461" t="str">
        <x:f t="shared" si="31"/>
        <x:v/>
      </x:c>
      <x:c r="N40" s="460"/>
      <x:c r="O40" s="461">
        <x:f t="shared" si="32"/>
        <x:v>0</x:v>
      </x:c>
      <x:c r="P40" s="462"/>
      <x:c r="Q40" s="463">
        <x:f t="shared" si="33"/>
        <x:v>0</x:v>
      </x:c>
      <x:c r="R40" s="162" t="str">
        <x:f t="shared" si="34"/>
        <x:v>X</x:v>
      </x:c>
      <x:c r="S40" s="216"/>
      <x:c r="T40" s="327"/>
      <x:c r="U40" s="217"/>
      <x:c r="V40" s="203"/>
      <x:c r="W40" s="217"/>
      <x:c r="X40" s="217"/>
      <x:c r="Y40" s="162" t="str">
        <x:f t="shared" si="35"/>
        <x:v/>
      </x:c>
      <x:c r="Z40" s="45"/>
      <x:c r="AA40" s="471" t="str">
        <x:f t="shared" si="36"/>
        <x:v/>
      </x:c>
      <x:c r="AB40" s="471" t="str">
        <x:f t="shared" si="37"/>
        <x:v/>
      </x:c>
      <x:c r="AC40" s="471" t="str">
        <x:f t="shared" si="38"/>
        <x:v/>
      </x:c>
      <x:c r="AD40" s="471" t="str">
        <x:f t="shared" si="39"/>
        <x:v/>
      </x:c>
      <x:c r="AE40" s="46"/>
      <x:c r="AF40" s="471" t="str">
        <x:f t="shared" si="40"/>
        <x:v/>
      </x:c>
      <x:c r="AG40" s="471" t="str">
        <x:f t="shared" si="41"/>
        <x:v/>
      </x:c>
      <x:c r="AH40" s="471" t="str">
        <x:f t="shared" si="42"/>
        <x:v/>
      </x:c>
      <x:c r="AI40" s="471" t="str">
        <x:f t="shared" si="43"/>
        <x:v/>
      </x:c>
      <x:c r="AJ40" s="87"/>
      <x:c r="AK40" s="374" t="str">
        <x:f>IF($AQ40="","",IF(OR($AL40="",$AL40="도비"),"",CONCATENATE($AQ40,"-",COUNTIF($AQ$8:$AQ40,$AQ40))))</x:f>
        <x:v/>
      </x:c>
      <x:c r="AL40" s="374" t="str">
        <x:f t="shared" si="44"/>
        <x:v/>
      </x:c>
      <x:c r="AM40" s="87"/>
      <x:c r="AN40" s="375" t="str">
        <x:f>IF($AQ40="","",IF(OR($AO40="",$AO40="국비",$AO40="자체"),"",CONCATENATE($AQ40,"-",$AO40,"-",COUNTIF($AQ$8:$AQ40,$AQ40))))</x:f>
        <x:v/>
      </x:c>
      <x:c r="AO40" s="375" t="str">
        <x:f t="shared" si="45"/>
        <x:v/>
      </x:c>
      <x:c r="AP40" s="87"/>
      <x:c r="AQ40" s="374" t="str">
        <x:f t="array" ref="AQ40:AQ40">IF(OR($D40="",$C40="직접입력",$B40="직접입력"),"",INDEX(구분표!$I$2:$I$337,MATCH(1,(구분표!$G$2:$G$337='3. 일입'!$B40)*(구분표!$E$2:$E$337='3. 일입'!$C40)*(구분표!$F$2:$F$337='3. 일입'!$D40),0)))</x:f>
        <x:v/>
      </x:c>
      <x:c r="AR40" s="87"/>
      <x:c r="AS40" s="472" t="str">
        <x:f>IF($AK40="","",SUMIFS('3. 일출(의존)'!$AB$7:$AB$1989,'3. 일출(의존)'!$AN$7:$AN$1989,$AK40))</x:f>
        <x:v/>
      </x:c>
      <x:c r="AT40" s="377" t="str">
        <x:f>IF($AK40="","",COUNTIF('3. 일출(의존)'!$AN$7:$AN$1989,$AK40))</x:f>
        <x:v/>
      </x:c>
      <x:c r="AU40" s="374" t="str">
        <x:f t="shared" si="46"/>
        <x:v/>
      </x:c>
      <x:c r="AV40" s="472" t="str">
        <x:f>IF($AN40="","",IF($AO40="지역개발기금",SUMIFS('3. 일출(의존)'!$AE$8:$AE$2000,'3. 일출(의존)'!$AS$8:$AS$2000,$AN40)+SUMIFS('3. 일출(자체)'!$AE$8:$AE$2000,'3. 일출(자체)'!$AM$8:$AM$2000,$AN40),IF($AO40="지방채",SUMIFS('3. 일출(의존)'!$AD$8:$AD$2000,'3. 일출(의존)'!$AS$8:$AS$2000,$AN40)+SUMIFS('3. 일출(자체)'!$AD$8:$AD$2000,'3. 일출(자체)'!$AM$8:$AM$2000,$AN40),0)))</x:f>
        <x:v/>
      </x:c>
      <x:c r="AW40" s="377" t="str">
        <x:f>IF($AN40="","",COUNTIF('3. 일출(의존)'!$AS$8:$AS$2000,$AN40)+COUNTIF('3. 일출(자체)'!$AM$8:$AM$2000,$AN40))</x:f>
        <x:v/>
      </x:c>
      <x:c r="AX40" s="374" t="str">
        <x:f t="shared" si="47"/>
        <x:v/>
      </x:c>
      <x:c r="AY40" s="91"/>
      <x:c r="AZ40" s="472" t="str">
        <x:f>IF($AK40="","",SUMIFS('3. 일출(의존)'!$AH$8:$AH$1989,'3. 일출(의존)'!$AN$8:$AN$1989,$AK40))</x:f>
        <x:v/>
      </x:c>
      <x:c r="BA40" s="377" t="str">
        <x:f>IF($AK40="","",COUNTIF('3. 일출(의존)'!$AN$7:$AN$1989,$AK40))</x:f>
        <x:v/>
      </x:c>
      <x:c r="BB40" s="374" t="str">
        <x:f t="shared" si="48"/>
        <x:v/>
      </x:c>
      <x:c r="BC40" s="472" t="str">
        <x:f>IF($AN40="","",IF($AO40="지역개발기금",SUMIFS('3. 일출(의존)'!$AK$8:$AK$2000,'3. 일출(의존)'!$AS$8:$AS$2000,$AN40)+SUMIFS('3. 일출(자체)'!$AJ$8:$AJ$2000,'3. 일출(자체)'!$AM$8:$AM$2000,$AN40),IF($AO40="지방채",SUMIFS('3. 일출(의존)'!$AJ$8:$AJ$2000,'3. 일출(의존)'!$AS$8:$AS$2000,$AN40)+SUMIFS('3. 일출(자체)'!$AI$8:$AI$2000,'3. 일출(자체)'!$AM$8:$AM$2000,$AN40),0)))</x:f>
        <x:v/>
      </x:c>
      <x:c r="BD40" s="377" t="str">
        <x:f>IF($AN40="","",COUNTIF('3. 일출(의존)'!$AS$8:$AS$2000,$AN40)+COUNTIF('3. 일출(자체)'!$AM$8:$AM$2000,$AN40))</x:f>
        <x:v/>
      </x:c>
      <x:c r="BE40" s="374" t="str">
        <x:f t="shared" si="49"/>
        <x:v/>
      </x:c>
    </x:row>
    <x:row r="41" spans="1:57" s="20" customFormat="1" ht="80.099999999999994" customHeight="1">
      <x:c r="A41" s="155" t="str">
        <x:f>IF(D41="","",COUNTA($C$8:C41)-COUNTBLANK($C$8:C41)+2)</x:f>
        <x:v/>
      </x:c>
      <x:c r="B41" s="156" t="str">
        <x: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x:f>
        <x:v/>
      </x:c>
      <x:c r="C41" s="156" t="str">
        <x:f>IF(D41="","",IF(OR(D41="교육지원과",D41="총무과",D41="인사과"),"직접입력",VLOOKUP(D41,구분표!$A$3:$C$258,3,)))</x:f>
        <x:v/>
      </x:c>
      <x:c r="D41" s="219"/>
      <x:c r="E41" s="213"/>
      <x:c r="F41" s="388" t="str">
        <x:f t="shared" si="50"/>
        <x:v/>
      </x:c>
      <x:c r="G41" s="388" t="str">
        <x:f t="shared" si="50"/>
        <x:v/>
      </x:c>
      <x:c r="H41" s="213"/>
      <x:c r="I41" s="156" t="str">
        <x:f>IF(H41="","",VLOOKUP($H41,구분표!$O$3:$P$168,2,FALSE))</x:f>
        <x:v/>
      </x:c>
      <x:c r="J41" s="215"/>
      <x:c r="K41" s="459" t="str">
        <x:f t="shared" si="51"/>
        <x:v/>
      </x:c>
      <x:c r="L41" s="459" t="str">
        <x:f t="shared" si="52"/>
        <x:v/>
      </x:c>
      <x:c r="M41" s="461" t="str">
        <x:f t="shared" si="31"/>
        <x:v/>
      </x:c>
      <x:c r="N41" s="460"/>
      <x:c r="O41" s="461">
        <x:f t="shared" si="32"/>
        <x:v>0</x:v>
      </x:c>
      <x:c r="P41" s="462"/>
      <x:c r="Q41" s="463">
        <x:f t="shared" si="33"/>
        <x:v>0</x:v>
      </x:c>
      <x:c r="R41" s="162" t="str">
        <x:f t="shared" si="34"/>
        <x:v>X</x:v>
      </x:c>
      <x:c r="S41" s="216"/>
      <x:c r="T41" s="327"/>
      <x:c r="U41" s="217"/>
      <x:c r="V41" s="203"/>
      <x:c r="W41" s="217"/>
      <x:c r="X41" s="217"/>
      <x:c r="Y41" s="162" t="str">
        <x:f t="shared" si="35"/>
        <x:v/>
      </x:c>
      <x:c r="Z41" s="45"/>
      <x:c r="AA41" s="471" t="str">
        <x:f t="shared" si="36"/>
        <x:v/>
      </x:c>
      <x:c r="AB41" s="471" t="str">
        <x:f t="shared" si="37"/>
        <x:v/>
      </x:c>
      <x:c r="AC41" s="471" t="str">
        <x:f t="shared" si="38"/>
        <x:v/>
      </x:c>
      <x:c r="AD41" s="471" t="str">
        <x:f t="shared" si="39"/>
        <x:v/>
      </x:c>
      <x:c r="AE41" s="46"/>
      <x:c r="AF41" s="471" t="str">
        <x:f t="shared" si="40"/>
        <x:v/>
      </x:c>
      <x:c r="AG41" s="471" t="str">
        <x:f t="shared" si="41"/>
        <x:v/>
      </x:c>
      <x:c r="AH41" s="471" t="str">
        <x:f t="shared" si="42"/>
        <x:v/>
      </x:c>
      <x:c r="AI41" s="471" t="str">
        <x:f t="shared" si="43"/>
        <x:v/>
      </x:c>
      <x:c r="AJ41" s="87"/>
      <x:c r="AK41" s="374" t="str">
        <x:f>IF($AQ41="","",IF(OR($AL41="",$AL41="도비"),"",CONCATENATE($AQ41,"-",COUNTIF($AQ$8:$AQ41,$AQ41))))</x:f>
        <x:v/>
      </x:c>
      <x:c r="AL41" s="374" t="str">
        <x:f t="shared" si="44"/>
        <x:v/>
      </x:c>
      <x:c r="AM41" s="87"/>
      <x:c r="AN41" s="375" t="str">
        <x:f>IF($AQ41="","",IF(OR($AO41="",$AO41="국비",$AO41="자체"),"",CONCATENATE($AQ41,"-",$AO41,"-",COUNTIF($AQ$8:$AQ41,$AQ41))))</x:f>
        <x:v/>
      </x:c>
      <x:c r="AO41" s="375" t="str">
        <x:f t="shared" si="45"/>
        <x:v/>
      </x:c>
      <x:c r="AP41" s="87"/>
      <x:c r="AQ41" s="374" t="str">
        <x:f t="array" ref="AQ41:AQ41">IF(OR($D41="",$C41="직접입력",$B41="직접입력"),"",INDEX(구분표!$I$2:$I$337,MATCH(1,(구분표!$G$2:$G$337='3. 일입'!$B41)*(구분표!$E$2:$E$337='3. 일입'!$C41)*(구분표!$F$2:$F$337='3. 일입'!$D41),0)))</x:f>
        <x:v/>
      </x:c>
      <x:c r="AR41" s="87"/>
      <x:c r="AS41" s="472" t="str">
        <x:f>IF($AK41="","",SUMIFS('3. 일출(의존)'!$AB$7:$AB$1989,'3. 일출(의존)'!$AN$7:$AN$1989,$AK41))</x:f>
        <x:v/>
      </x:c>
      <x:c r="AT41" s="377" t="str">
        <x:f>IF($AK41="","",COUNTIF('3. 일출(의존)'!$AN$7:$AN$1989,$AK41))</x:f>
        <x:v/>
      </x:c>
      <x:c r="AU41" s="374" t="str">
        <x:f t="shared" si="46"/>
        <x:v/>
      </x:c>
      <x:c r="AV41" s="472" t="str">
        <x:f>IF($AN41="","",IF($AO41="지역개발기금",SUMIFS('3. 일출(의존)'!$AE$8:$AE$2000,'3. 일출(의존)'!$AS$8:$AS$2000,$AN41)+SUMIFS('3. 일출(자체)'!$AE$8:$AE$2000,'3. 일출(자체)'!$AM$8:$AM$2000,$AN41),IF($AO41="지방채",SUMIFS('3. 일출(의존)'!$AD$8:$AD$2000,'3. 일출(의존)'!$AS$8:$AS$2000,$AN41)+SUMIFS('3. 일출(자체)'!$AD$8:$AD$2000,'3. 일출(자체)'!$AM$8:$AM$2000,$AN41),0)))</x:f>
        <x:v/>
      </x:c>
      <x:c r="AW41" s="377" t="str">
        <x:f>IF($AN41="","",COUNTIF('3. 일출(의존)'!$AS$8:$AS$2000,$AN41)+COUNTIF('3. 일출(자체)'!$AM$8:$AM$2000,$AN41))</x:f>
        <x:v/>
      </x:c>
      <x:c r="AX41" s="374" t="str">
        <x:f t="shared" si="47"/>
        <x:v/>
      </x:c>
      <x:c r="AY41" s="91"/>
      <x:c r="AZ41" s="472" t="str">
        <x:f>IF($AK41="","",SUMIFS('3. 일출(의존)'!$AH$8:$AH$1989,'3. 일출(의존)'!$AN$8:$AN$1989,$AK41))</x:f>
        <x:v/>
      </x:c>
      <x:c r="BA41" s="377" t="str">
        <x:f>IF($AK41="","",COUNTIF('3. 일출(의존)'!$AN$7:$AN$1989,$AK41))</x:f>
        <x:v/>
      </x:c>
      <x:c r="BB41" s="374" t="str">
        <x:f t="shared" si="48"/>
        <x:v/>
      </x:c>
      <x:c r="BC41" s="472" t="str">
        <x:f>IF($AN41="","",IF($AO41="지역개발기금",SUMIFS('3. 일출(의존)'!$AK$8:$AK$2000,'3. 일출(의존)'!$AS$8:$AS$2000,$AN41)+SUMIFS('3. 일출(자체)'!$AJ$8:$AJ$2000,'3. 일출(자체)'!$AM$8:$AM$2000,$AN41),IF($AO41="지방채",SUMIFS('3. 일출(의존)'!$AJ$8:$AJ$2000,'3. 일출(의존)'!$AS$8:$AS$2000,$AN41)+SUMIFS('3. 일출(자체)'!$AI$8:$AI$2000,'3. 일출(자체)'!$AM$8:$AM$2000,$AN41),0)))</x:f>
        <x:v/>
      </x:c>
      <x:c r="BD41" s="377" t="str">
        <x:f>IF($AN41="","",COUNTIF('3. 일출(의존)'!$AS$8:$AS$2000,$AN41)+COUNTIF('3. 일출(자체)'!$AM$8:$AM$2000,$AN41))</x:f>
        <x:v/>
      </x:c>
      <x:c r="BE41" s="374" t="str">
        <x:f t="shared" si="49"/>
        <x:v/>
      </x:c>
    </x:row>
    <x:row r="42" spans="1:57" ht="60" customHeight="1">
      <x:c r="A42" s="210"/>
      <x:c r="B42" s="888" t="s">
        <x:v>1538</x:v>
      </x:c>
      <x:c r="C42" s="888"/>
      <x:c r="D42" s="888"/>
      <x:c r="E42" s="888"/>
      <x:c r="F42" s="888"/>
      <x:c r="G42" s="888"/>
      <x:c r="H42" s="210"/>
      <x:c r="I42" s="79"/>
      <x:c r="J42" s="409" t="str">
        <x:f>SUBTOTAL(3,J43:J58)&amp;"건"</x:f>
        <x:v>0건</x:v>
      </x:c>
      <x:c r="K42" s="458">
        <x:f t="shared" ref="K42:L42" si="53">SUBTOTAL(9,K43:K58)</x:f>
        <x:v>0</x:v>
      </x:c>
      <x:c r="L42" s="458">
        <x:f t="shared" si="53"/>
        <x:v>0</x:v>
      </x:c>
      <x:c r="M42" s="458">
        <x:f t="shared" ref="M42:Q42" si="54">SUBTOTAL(9,M43:M58)</x:f>
        <x:v>0</x:v>
      </x:c>
      <x:c r="N42" s="458">
        <x:f t="shared" si="54"/>
        <x:v>0</x:v>
      </x:c>
      <x:c r="O42" s="458">
        <x:f t="shared" si="54"/>
        <x:v>0</x:v>
      </x:c>
      <x:c r="P42" s="458">
        <x:f t="shared" si="54"/>
        <x:v>0</x:v>
      </x:c>
      <x:c r="Q42" s="458">
        <x:f t="shared" si="54"/>
        <x:v>0</x:v>
      </x:c>
      <x:c r="R42" s="78"/>
      <x:c r="S42" s="78"/>
      <x:c r="T42" s="78"/>
      <x:c r="U42" s="78"/>
      <x:c r="V42" s="78"/>
      <x:c r="W42" s="78"/>
      <x:c r="X42" s="78"/>
      <x:c r="Y42" s="80"/>
      <x:c r="Z42" s="43"/>
      <x:c r="AA42" s="470">
        <x:f>SUBTOTAL(9,AA43:AA58)</x:f>
        <x:v>0</x:v>
      </x:c>
      <x:c r="AB42" s="470">
        <x:f t="shared" ref="AB42:AD42" si="55">SUBTOTAL(9,AB43:AB58)</x:f>
        <x:v>0</x:v>
      </x:c>
      <x:c r="AC42" s="470">
        <x:f t="shared" si="55"/>
        <x:v>0</x:v>
      </x:c>
      <x:c r="AD42" s="470">
        <x:f t="shared" si="55"/>
        <x:v>0</x:v>
      </x:c>
      <x:c r="AE42" s="166"/>
      <x:c r="AF42" s="470">
        <x:f>SUBTOTAL(9,AF43:AF58)</x:f>
        <x:v>0</x:v>
      </x:c>
      <x:c r="AG42" s="470">
        <x:f t="shared" ref="AG42:AI42" si="56">SUBTOTAL(9,AG43:AG58)</x:f>
        <x:v>0</x:v>
      </x:c>
      <x:c r="AH42" s="470">
        <x:f t="shared" si="56"/>
        <x:v>0</x:v>
      </x:c>
      <x:c r="AI42" s="470">
        <x:f t="shared" si="56"/>
        <x:v>0</x:v>
      </x:c>
      <x:c r="AJ42" s="53"/>
      <x:c r="AK42" s="80"/>
      <x:c r="AL42" s="80"/>
      <x:c r="AM42" s="53"/>
      <x:c r="AN42" s="80"/>
      <x:c r="AO42" s="80"/>
      <x:c r="AP42" s="53"/>
      <x:c r="AQ42" s="80"/>
      <x:c r="AR42" s="53"/>
      <x:c r="AS42" s="470">
        <x:f>SUBTOTAL(9,AS43:AS58)</x:f>
        <x:v>0</x:v>
      </x:c>
      <x:c r="AT42" s="470">
        <x:f>SUBTOTAL(9,AT43:AT58)</x:f>
        <x:v>0</x:v>
      </x:c>
      <x:c r="AU42" s="554" t="str">
        <x:f>IF(COUNTIF(AU43:AU58,"@@")&gt;0,"@@","OK")</x:f>
        <x:v>OK</x:v>
      </x:c>
      <x:c r="AV42" s="470">
        <x:f>SUBTOTAL(9,AV43:AV58)</x:f>
        <x:v>0</x:v>
      </x:c>
      <x:c r="AW42" s="470">
        <x:f>SUBTOTAL(9,AW43:AW58)</x:f>
        <x:v>0</x:v>
      </x:c>
      <x:c r="AX42" s="554" t="str">
        <x:f>IF(COUNTIF(AX43:AX58,"@@")&gt;0,"@@","OK")</x:f>
        <x:v>OK</x:v>
      </x:c>
      <x:c r="AY42" s="53"/>
      <x:c r="AZ42" s="470">
        <x:f>SUBTOTAL(9,AZ43:AZ58)</x:f>
        <x:v>0</x:v>
      </x:c>
      <x:c r="BA42" s="470">
        <x:f>SUBTOTAL(9,BA43:BA58)</x:f>
        <x:v>0</x:v>
      </x:c>
      <x:c r="BB42" s="554" t="str">
        <x:f>IF(COUNTIF(BB43:BB58,"@@")&gt;0,"@@","OK")</x:f>
        <x:v>OK</x:v>
      </x:c>
      <x:c r="BC42" s="470">
        <x:f>SUBTOTAL(9,BC43:BC58)</x:f>
        <x:v>0</x:v>
      </x:c>
      <x:c r="BD42" s="470">
        <x:f>SUBTOTAL(9,BD43:BD58)</x:f>
        <x:v>0</x:v>
      </x:c>
      <x:c r="BE42" s="554" t="str">
        <x:f>IF(COUNTIF(BE43:BE58,"@@")&gt;0,"@@","OK")</x:f>
        <x:v>OK</x:v>
      </x:c>
    </x:row>
    <x:row r="43" spans="1:57" s="20" customFormat="1" ht="80.099999999999994" customHeight="1">
      <x:c r="A43" s="155" t="str">
        <x:f>IF(D43="","",COUNTA($C$8:C43)-COUNTBLANK($C$8:C43)+3)</x:f>
        <x:v/>
      </x:c>
      <x:c r="B43" s="156" t="str">
        <x: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x:f>
        <x:v/>
      </x:c>
      <x:c r="C43" s="156" t="str">
        <x:f>IF(D43="","",IF(OR(D43="교육지원과",D43="총무과",D43="인사과"),"직접입력",VLOOKUP(D43,구분표!$A$3:$C$258,3,)))</x:f>
        <x:v/>
      </x:c>
      <x:c r="D43" s="219"/>
      <x:c r="E43" s="213"/>
      <x:c r="F43" s="388" t="str">
        <x:f>IF($E43="","",IF($E43="2추","직접입력","-"))</x:f>
        <x:v/>
      </x:c>
      <x:c r="G43" s="388" t="str">
        <x:f>IF($E43="","",IF($E43="2추","직접입력","-"))</x:f>
        <x:v/>
      </x:c>
      <x:c r="H43" s="213"/>
      <x:c r="I43" s="156" t="str">
        <x:f>IF(H43="","",VLOOKUP($H43,구분표!$O$3:$P$168,2,FALSE))</x:f>
        <x:v/>
      </x:c>
      <x:c r="J43" s="215"/>
      <x:c r="K43" s="459" t="str">
        <x:f>IF($E43="","",IF(OR($E43="2추",$E43="1추",$E43="본예산"),"금액입력","-"))</x:f>
        <x:v/>
      </x:c>
      <x:c r="L43" s="459" t="str">
        <x:f>IF($E43="","",IF($E43="2추","금액입력","-"))</x:f>
        <x:v/>
      </x:c>
      <x:c r="M43" s="461" t="str">
        <x:f t="shared" ref="M43:M58" si="57">IF($E43="","",SUM(K43:L43))</x:f>
        <x:v/>
      </x:c>
      <x:c r="N43" s="460"/>
      <x:c r="O43" s="461">
        <x:f t="shared" ref="O43:O58" si="58">SUM(M43:N43)</x:f>
        <x:v>0</x:v>
      </x:c>
      <x:c r="P43" s="462"/>
      <x:c r="Q43" s="463">
        <x:f t="shared" ref="Q43:Q58" si="59">SUM(M43,P43)</x:f>
        <x:v>0</x:v>
      </x:c>
      <x:c r="R43" s="162" t="str">
        <x:f t="shared" ref="R43:R58" si="60">IF(AND((O43=0),(Q43&gt;0)),"O",IF(AND((N43&lt;0),(O43-Q43&lt;0)),"O","X"))</x:f>
        <x:v>X</x:v>
      </x:c>
      <x:c r="S43" s="216"/>
      <x:c r="T43" s="327"/>
      <x:c r="U43" s="217"/>
      <x:c r="V43" s="203"/>
      <x:c r="W43" s="217"/>
      <x:c r="X43" s="217"/>
      <x:c r="Y43" s="162" t="str">
        <x:f t="shared" ref="Y43:Y58" si="61">IF($H43="","",IF(OR($H43="511-01",$H43="511-02",$H43="511-03",$H43="311-02",$H43="311-04",$H43="321-01"),"국비","도비"))</x:f>
        <x:v/>
      </x:c>
      <x:c r="Z43" s="45"/>
      <x:c r="AA43" s="471" t="str">
        <x:f t="shared" ref="AA43:AA58" si="62">IF($Y43="국비",IF($N43&lt;&gt;"",$N43,0),"")</x:f>
        <x:v/>
      </x:c>
      <x:c r="AB43" s="471" t="str">
        <x:f t="shared" ref="AB43:AB58" si="63">IF($Y43="도비",IF($AO43="자체",IF($N43&lt;&gt;"",$N43,0),""),"")</x:f>
        <x:v/>
      </x:c>
      <x:c r="AC43" s="471" t="str">
        <x:f t="shared" ref="AC43:AC58" si="64">IF($Y43="도비",IF($AO43="지방채",IF($N43&lt;&gt;"",$N43,0),""),"")</x:f>
        <x:v/>
      </x:c>
      <x:c r="AD43" s="471" t="str">
        <x:f t="shared" ref="AD43:AD58" si="65">IF($Y43="도비",IF($AO43="지역개발기금",IF($N43&lt;&gt;"",$N43,0),""),"")</x:f>
        <x:v/>
      </x:c>
      <x:c r="AE43" s="46"/>
      <x:c r="AF43" s="471" t="str">
        <x:f t="shared" ref="AF43:AF58" si="66">IF($Y43="국비",IF($P43&lt;&gt;"",$P43,0),"")</x:f>
        <x:v/>
      </x:c>
      <x:c r="AG43" s="471" t="str">
        <x:f t="shared" ref="AG43:AG58" si="67">IF($Y43="도비",IF($AO43="자체",IF($P43&lt;&gt;"",$P43,0),""),"")</x:f>
        <x:v/>
      </x:c>
      <x:c r="AH43" s="471" t="str">
        <x:f t="shared" ref="AH43:AH58" si="68">IF($Y43="도비",IF($AO43="지방채",IF($P43&lt;&gt;"",$P43,0),""),"")</x:f>
        <x:v/>
      </x:c>
      <x:c r="AI43" s="471" t="str">
        <x:f t="shared" ref="AI43:AI58" si="69">IF($Y43="도비",IF($AO43="지역개발기금",IF($P43&lt;&gt;"",$P43,0),""),"")</x:f>
        <x:v/>
      </x:c>
      <x:c r="AJ43" s="87"/>
      <x:c r="AK43" s="374" t="str">
        <x:f>IF($AQ43="","",IF(OR($AL43="",$AL43="도비"),"",CONCATENATE($AQ43,"-",COUNTIF($AQ$8:$AQ43,$AQ43))))</x:f>
        <x:v/>
      </x:c>
      <x:c r="AL43" s="374" t="str">
        <x:f t="shared" ref="AL43:AL58" si="70">IF($H43="","",IF($H43="511-01","국비",IF($H43="511-02","균특",IF($H43="511-03","기금",IF($H43="311-02","특교",IF($H43="311-04","소교",IF($H43="321-01","소멸","도비")))))))</x:f>
        <x:v/>
      </x:c>
      <x:c r="AM43" s="87"/>
      <x:c r="AN43" s="375" t="str">
        <x:f>IF($AQ43="","",IF(OR($AO43="",$AO43="국비",$AO43="자체"),"",CONCATENATE($AQ43,"-",$AO43,"-",COUNTIF($AQ$8:$AQ43,$AQ43))))</x:f>
        <x:v/>
      </x:c>
      <x:c r="AO43" s="375" t="str">
        <x:f t="shared" ref="AO43:AO58" si="71">IF($Y43="","",IF($Y43="국비","국비",IF($H43="612-01","지방채",IF($H43="722-02","지역개발기금","자체"))))</x:f>
        <x:v/>
      </x:c>
      <x:c r="AP43" s="87"/>
      <x:c r="AQ43" s="374" t="str">
        <x:f t="array" ref="AQ43:AQ43">IF(OR($D43="",$C43="직접입력",$B43="직접입력"),"",INDEX(구분표!$I$2:$I$337,MATCH(1,(구분표!$G$2:$G$337='3. 일입'!$B43)*(구분표!$E$2:$E$337='3. 일입'!$C43)*(구분표!$F$2:$F$337='3. 일입'!$D43),0)))</x:f>
        <x:v/>
      </x:c>
      <x:c r="AR43" s="87"/>
      <x:c r="AS43" s="472" t="str">
        <x:f>IF($AK43="","",SUMIFS('3. 일출(의존)'!$AB$7:$AB$1989,'3. 일출(의존)'!$AN$7:$AN$1989,$AK43))</x:f>
        <x:v/>
      </x:c>
      <x:c r="AT43" s="377" t="str">
        <x:f>IF($AK43="","",COUNTIF('3. 일출(의존)'!$AN$7:$AN$1989,$AK43))</x:f>
        <x:v/>
      </x:c>
      <x:c r="AU43" s="374" t="str">
        <x:f t="shared" ref="AU43:AU58" si="72">IF($AK43="","",IF($AA43=$AS43,"OK","@@"))</x:f>
        <x:v/>
      </x:c>
      <x:c r="AV43" s="472" t="str">
        <x:f>IF($AN43="","",IF($AO43="지역개발기금",SUMIFS('3. 일출(의존)'!$AE$8:$AE$2000,'3. 일출(의존)'!$AS$8:$AS$2000,$AN43)+SUMIFS('3. 일출(자체)'!$AE$8:$AE$2000,'3. 일출(자체)'!$AM$8:$AM$2000,$AN43),IF($AO43="지방채",SUMIFS('3. 일출(의존)'!$AD$8:$AD$2000,'3. 일출(의존)'!$AS$8:$AS$2000,$AN43)+SUMIFS('3. 일출(자체)'!$AD$8:$AD$2000,'3. 일출(자체)'!$AM$8:$AM$2000,$AN43),0)))</x:f>
        <x:v/>
      </x:c>
      <x:c r="AW43" s="377" t="str">
        <x:f>IF($AN43="","",COUNTIF('3. 일출(의존)'!$AS$8:$AS$2000,$AN43)+COUNTIF('3. 일출(자체)'!$AM$8:$AM$2000,$AN43))</x:f>
        <x:v/>
      </x:c>
      <x:c r="AX43" s="374" t="str">
        <x:f t="shared" ref="AX43:AX58" si="73">IF($AN43="","",IF($AO43="자체","",IF($AO43="지방채",IF($AC43=$AV43,"OK","@@"),IF($AO43="지역개발기금",IF($AD43=$AV43,"OK","@@"),"@@"))))</x:f>
        <x:v/>
      </x:c>
      <x:c r="AY43" s="91"/>
      <x:c r="AZ43" s="472" t="str">
        <x:f>IF($AK43="","",SUMIFS('3. 일출(의존)'!$AH$8:$AH$1989,'3. 일출(의존)'!$AN$8:$AN$1989,$AK43))</x:f>
        <x:v/>
      </x:c>
      <x:c r="BA43" s="377" t="str">
        <x:f>IF($AK43="","",COUNTIF('3. 일출(의존)'!$AN$7:$AN$1989,$AK43))</x:f>
        <x:v/>
      </x:c>
      <x:c r="BB43" s="374" t="str">
        <x:f t="shared" ref="BB43:BB58" si="74">IF($AK43="","",IF($AF43=$AZ43,"OK","@@"))</x:f>
        <x:v/>
      </x:c>
      <x:c r="BC43" s="472" t="str">
        <x:f>IF($AN43="","",IF($AO43="지역개발기금",SUMIFS('3. 일출(의존)'!$AK$8:$AK$2000,'3. 일출(의존)'!$AS$8:$AS$2000,$AN43)+SUMIFS('3. 일출(자체)'!$AJ$8:$AJ$2000,'3. 일출(자체)'!$AM$8:$AM$2000,$AN43),IF($AO43="지방채",SUMIFS('3. 일출(의존)'!$AJ$8:$AJ$2000,'3. 일출(의존)'!$AS$8:$AS$2000,$AN43)+SUMIFS('3. 일출(자체)'!$AI$8:$AI$2000,'3. 일출(자체)'!$AM$8:$AM$2000,$AN43),0)))</x:f>
        <x:v/>
      </x:c>
      <x:c r="BD43" s="377" t="str">
        <x:f>IF($AN43="","",COUNTIF('3. 일출(의존)'!$AS$8:$AS$2000,$AN43)+COUNTIF('3. 일출(자체)'!$AM$8:$AM$2000,$AN43))</x:f>
        <x:v/>
      </x:c>
      <x:c r="BE43" s="374" t="str">
        <x:f t="shared" ref="BE43:BE58" si="75">IF($AN43="","",IF($AO43="자체","",IF($AO43="지방채",IF($AH43=$BC43,"OK","@@"),IF($AO43="지역개발기금",IF($AI43=$BC43,"OK","@@"),"@@"))))</x:f>
        <x:v/>
      </x:c>
    </x:row>
    <x:row r="44" spans="1:57" s="20" customFormat="1" ht="80.099999999999994" customHeight="1">
      <x:c r="A44" s="155" t="str">
        <x:f>IF(D44="","",COUNTA($C$8:C44)-COUNTBLANK($C$8:C44)+3)</x:f>
        <x:v/>
      </x:c>
      <x:c r="B44" s="156" t="str">
        <x: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x:f>
        <x:v/>
      </x:c>
      <x:c r="C44" s="156" t="str">
        <x:f>IF(D44="","",IF(OR(D44="교육지원과",D44="총무과",D44="인사과"),"직접입력",VLOOKUP(D44,구분표!$A$3:$C$258,3,)))</x:f>
        <x:v/>
      </x:c>
      <x:c r="D44" s="219"/>
      <x:c r="E44" s="213"/>
      <x:c r="F44" s="388" t="str">
        <x:f t="shared" ref="F44:G58" si="76">IF($E44="","",IF($E44="2추","직접입력","-"))</x:f>
        <x:v/>
      </x:c>
      <x:c r="G44" s="388" t="str">
        <x:f t="shared" si="76"/>
        <x:v/>
      </x:c>
      <x:c r="H44" s="213"/>
      <x:c r="I44" s="156" t="str">
        <x:f>IF(H44="","",VLOOKUP($H44,구분표!$O$3:$P$168,2,FALSE))</x:f>
        <x:v/>
      </x:c>
      <x:c r="J44" s="215"/>
      <x:c r="K44" s="459" t="str">
        <x:f t="shared" ref="K44:K58" si="77">IF($E44="","",IF(OR($E44="2추",$E44="1추",$E44="본예산"),"금액입력","-"))</x:f>
        <x:v/>
      </x:c>
      <x:c r="L44" s="459" t="str">
        <x:f t="shared" ref="L44:L58" si="78">IF($E44="","",IF($E44="2추","금액입력","-"))</x:f>
        <x:v/>
      </x:c>
      <x:c r="M44" s="461" t="str">
        <x:f t="shared" si="57"/>
        <x:v/>
      </x:c>
      <x:c r="N44" s="460"/>
      <x:c r="O44" s="461">
        <x:f t="shared" si="58"/>
        <x:v>0</x:v>
      </x:c>
      <x:c r="P44" s="462"/>
      <x:c r="Q44" s="463">
        <x:f t="shared" si="59"/>
        <x:v>0</x:v>
      </x:c>
      <x:c r="R44" s="162" t="str">
        <x:f t="shared" si="60"/>
        <x:v>X</x:v>
      </x:c>
      <x:c r="S44" s="216"/>
      <x:c r="T44" s="327"/>
      <x:c r="U44" s="217"/>
      <x:c r="V44" s="203"/>
      <x:c r="W44" s="217"/>
      <x:c r="X44" s="217"/>
      <x:c r="Y44" s="162" t="str">
        <x:f t="shared" si="61"/>
        <x:v/>
      </x:c>
      <x:c r="Z44" s="45"/>
      <x:c r="AA44" s="471" t="str">
        <x:f t="shared" si="62"/>
        <x:v/>
      </x:c>
      <x:c r="AB44" s="471" t="str">
        <x:f t="shared" si="63"/>
        <x:v/>
      </x:c>
      <x:c r="AC44" s="471" t="str">
        <x:f t="shared" si="64"/>
        <x:v/>
      </x:c>
      <x:c r="AD44" s="471" t="str">
        <x:f t="shared" si="65"/>
        <x:v/>
      </x:c>
      <x:c r="AE44" s="46"/>
      <x:c r="AF44" s="471" t="str">
        <x:f t="shared" si="66"/>
        <x:v/>
      </x:c>
      <x:c r="AG44" s="471" t="str">
        <x:f t="shared" si="67"/>
        <x:v/>
      </x:c>
      <x:c r="AH44" s="471" t="str">
        <x:f t="shared" si="68"/>
        <x:v/>
      </x:c>
      <x:c r="AI44" s="471" t="str">
        <x:f t="shared" si="69"/>
        <x:v/>
      </x:c>
      <x:c r="AJ44" s="87"/>
      <x:c r="AK44" s="374" t="str">
        <x:f>IF($AQ44="","",IF(OR($AL44="",$AL44="도비"),"",CONCATENATE($AQ44,"-",COUNTIF($AQ$8:$AQ44,$AQ44))))</x:f>
        <x:v/>
      </x:c>
      <x:c r="AL44" s="374" t="str">
        <x:f t="shared" si="70"/>
        <x:v/>
      </x:c>
      <x:c r="AM44" s="87"/>
      <x:c r="AN44" s="375" t="str">
        <x:f>IF($AQ44="","",IF(OR($AO44="",$AO44="국비",$AO44="자체"),"",CONCATENATE($AQ44,"-",$AO44,"-",COUNTIF($AQ$8:$AQ44,$AQ44))))</x:f>
        <x:v/>
      </x:c>
      <x:c r="AO44" s="375" t="str">
        <x:f t="shared" si="71"/>
        <x:v/>
      </x:c>
      <x:c r="AP44" s="87"/>
      <x:c r="AQ44" s="374" t="str">
        <x:f t="array" ref="AQ44:AQ44">IF(OR($D44="",$C44="직접입력",$B44="직접입력"),"",INDEX(구분표!$I$2:$I$337,MATCH(1,(구분표!$G$2:$G$337='3. 일입'!$B44)*(구분표!$E$2:$E$337='3. 일입'!$C44)*(구분표!$F$2:$F$337='3. 일입'!$D44),0)))</x:f>
        <x:v/>
      </x:c>
      <x:c r="AR44" s="87"/>
      <x:c r="AS44" s="472" t="str">
        <x:f>IF($AK44="","",SUMIFS('3. 일출(의존)'!$AB$7:$AB$1989,'3. 일출(의존)'!$AN$7:$AN$1989,$AK44))</x:f>
        <x:v/>
      </x:c>
      <x:c r="AT44" s="377" t="str">
        <x:f>IF($AK44="","",COUNTIF('3. 일출(의존)'!$AN$7:$AN$1989,$AK44))</x:f>
        <x:v/>
      </x:c>
      <x:c r="AU44" s="374" t="str">
        <x:f t="shared" si="72"/>
        <x:v/>
      </x:c>
      <x:c r="AV44" s="472" t="str">
        <x:f>IF($AN44="","",IF($AO44="지역개발기금",SUMIFS('3. 일출(의존)'!$AE$8:$AE$2000,'3. 일출(의존)'!$AS$8:$AS$2000,$AN44)+SUMIFS('3. 일출(자체)'!$AE$8:$AE$2000,'3. 일출(자체)'!$AM$8:$AM$2000,$AN44),IF($AO44="지방채",SUMIFS('3. 일출(의존)'!$AD$8:$AD$2000,'3. 일출(의존)'!$AS$8:$AS$2000,$AN44)+SUMIFS('3. 일출(자체)'!$AD$8:$AD$2000,'3. 일출(자체)'!$AM$8:$AM$2000,$AN44),0)))</x:f>
        <x:v/>
      </x:c>
      <x:c r="AW44" s="377" t="str">
        <x:f>IF($AN44="","",COUNTIF('3. 일출(의존)'!$AS$8:$AS$2000,$AN44)+COUNTIF('3. 일출(자체)'!$AM$8:$AM$2000,$AN44))</x:f>
        <x:v/>
      </x:c>
      <x:c r="AX44" s="374" t="str">
        <x:f t="shared" si="73"/>
        <x:v/>
      </x:c>
      <x:c r="AY44" s="91"/>
      <x:c r="AZ44" s="472" t="str">
        <x:f>IF($AK44="","",SUMIFS('3. 일출(의존)'!$AH$8:$AH$1989,'3. 일출(의존)'!$AN$8:$AN$1989,$AK44))</x:f>
        <x:v/>
      </x:c>
      <x:c r="BA44" s="377" t="str">
        <x:f>IF($AK44="","",COUNTIF('3. 일출(의존)'!$AN$7:$AN$1989,$AK44))</x:f>
        <x:v/>
      </x:c>
      <x:c r="BB44" s="374" t="str">
        <x:f t="shared" si="74"/>
        <x:v/>
      </x:c>
      <x:c r="BC44" s="472" t="str">
        <x:f>IF($AN44="","",IF($AO44="지역개발기금",SUMIFS('3. 일출(의존)'!$AK$8:$AK$2000,'3. 일출(의존)'!$AS$8:$AS$2000,$AN44)+SUMIFS('3. 일출(자체)'!$AJ$8:$AJ$2000,'3. 일출(자체)'!$AM$8:$AM$2000,$AN44),IF($AO44="지방채",SUMIFS('3. 일출(의존)'!$AJ$8:$AJ$2000,'3. 일출(의존)'!$AS$8:$AS$2000,$AN44)+SUMIFS('3. 일출(자체)'!$AI$8:$AI$2000,'3. 일출(자체)'!$AM$8:$AM$2000,$AN44),0)))</x:f>
        <x:v/>
      </x:c>
      <x:c r="BD44" s="377" t="str">
        <x:f>IF($AN44="","",COUNTIF('3. 일출(의존)'!$AS$8:$AS$2000,$AN44)+COUNTIF('3. 일출(자체)'!$AM$8:$AM$2000,$AN44))</x:f>
        <x:v/>
      </x:c>
      <x:c r="BE44" s="374" t="str">
        <x:f t="shared" si="75"/>
        <x:v/>
      </x:c>
    </x:row>
    <x:row r="45" spans="1:57" s="20" customFormat="1" ht="80.099999999999994" customHeight="1">
      <x:c r="A45" s="155" t="str">
        <x:f>IF(D45="","",COUNTA($C$8:C45)-COUNTBLANK($C$8:C45)+3)</x:f>
        <x:v/>
      </x:c>
      <x:c r="B45" s="156" t="str">
        <x: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x:f>
        <x:v/>
      </x:c>
      <x:c r="C45" s="156" t="str">
        <x:f>IF(D45="","",IF(OR(D45="교육지원과",D45="총무과",D45="인사과"),"직접입력",VLOOKUP(D45,구분표!$A$3:$C$258,3,)))</x:f>
        <x:v/>
      </x:c>
      <x:c r="D45" s="219"/>
      <x:c r="E45" s="213"/>
      <x:c r="F45" s="388" t="str">
        <x:f t="shared" si="76"/>
        <x:v/>
      </x:c>
      <x:c r="G45" s="388" t="str">
        <x:f t="shared" si="76"/>
        <x:v/>
      </x:c>
      <x:c r="H45" s="213"/>
      <x:c r="I45" s="156" t="str">
        <x:f>IF(H45="","",VLOOKUP($H45,구분표!$O$3:$P$168,2,FALSE))</x:f>
        <x:v/>
      </x:c>
      <x:c r="J45" s="215"/>
      <x:c r="K45" s="459" t="str">
        <x:f t="shared" si="77"/>
        <x:v/>
      </x:c>
      <x:c r="L45" s="459" t="str">
        <x:f t="shared" si="78"/>
        <x:v/>
      </x:c>
      <x:c r="M45" s="461" t="str">
        <x:f t="shared" si="57"/>
        <x:v/>
      </x:c>
      <x:c r="N45" s="460"/>
      <x:c r="O45" s="461">
        <x:f t="shared" si="58"/>
        <x:v>0</x:v>
      </x:c>
      <x:c r="P45" s="462"/>
      <x:c r="Q45" s="463">
        <x:f t="shared" si="59"/>
        <x:v>0</x:v>
      </x:c>
      <x:c r="R45" s="162" t="str">
        <x:f t="shared" si="60"/>
        <x:v>X</x:v>
      </x:c>
      <x:c r="S45" s="216"/>
      <x:c r="T45" s="327"/>
      <x:c r="U45" s="217"/>
      <x:c r="V45" s="203"/>
      <x:c r="W45" s="217"/>
      <x:c r="X45" s="217"/>
      <x:c r="Y45" s="162" t="str">
        <x:f t="shared" si="61"/>
        <x:v/>
      </x:c>
      <x:c r="Z45" s="45"/>
      <x:c r="AA45" s="471" t="str">
        <x:f t="shared" si="62"/>
        <x:v/>
      </x:c>
      <x:c r="AB45" s="471" t="str">
        <x:f t="shared" si="63"/>
        <x:v/>
      </x:c>
      <x:c r="AC45" s="471" t="str">
        <x:f t="shared" si="64"/>
        <x:v/>
      </x:c>
      <x:c r="AD45" s="471" t="str">
        <x:f t="shared" si="65"/>
        <x:v/>
      </x:c>
      <x:c r="AE45" s="46"/>
      <x:c r="AF45" s="471" t="str">
        <x:f t="shared" si="66"/>
        <x:v/>
      </x:c>
      <x:c r="AG45" s="471" t="str">
        <x:f t="shared" si="67"/>
        <x:v/>
      </x:c>
      <x:c r="AH45" s="471" t="str">
        <x:f t="shared" si="68"/>
        <x:v/>
      </x:c>
      <x:c r="AI45" s="471" t="str">
        <x:f t="shared" si="69"/>
        <x:v/>
      </x:c>
      <x:c r="AJ45" s="87"/>
      <x:c r="AK45" s="374" t="str">
        <x:f>IF($AQ45="","",IF(OR($AL45="",$AL45="도비"),"",CONCATENATE($AQ45,"-",COUNTIF($AQ$8:$AQ45,$AQ45))))</x:f>
        <x:v/>
      </x:c>
      <x:c r="AL45" s="374" t="str">
        <x:f t="shared" si="70"/>
        <x:v/>
      </x:c>
      <x:c r="AM45" s="87"/>
      <x:c r="AN45" s="375" t="str">
        <x:f>IF($AQ45="","",IF(OR($AO45="",$AO45="국비",$AO45="자체"),"",CONCATENATE($AQ45,"-",$AO45,"-",COUNTIF($AQ$8:$AQ45,$AQ45))))</x:f>
        <x:v/>
      </x:c>
      <x:c r="AO45" s="375" t="str">
        <x:f t="shared" si="71"/>
        <x:v/>
      </x:c>
      <x:c r="AP45" s="87"/>
      <x:c r="AQ45" s="374" t="str">
        <x:f t="array" ref="AQ45:AQ45">IF(OR($D45="",$C45="직접입력",$B45="직접입력"),"",INDEX(구분표!$I$2:$I$337,MATCH(1,(구분표!$G$2:$G$337='3. 일입'!$B45)*(구분표!$E$2:$E$337='3. 일입'!$C45)*(구분표!$F$2:$F$337='3. 일입'!$D45),0)))</x:f>
        <x:v/>
      </x:c>
      <x:c r="AR45" s="87"/>
      <x:c r="AS45" s="472" t="str">
        <x:f>IF($AK45="","",SUMIFS('3. 일출(의존)'!$AB$7:$AB$1989,'3. 일출(의존)'!$AN$7:$AN$1989,$AK45))</x:f>
        <x:v/>
      </x:c>
      <x:c r="AT45" s="377" t="str">
        <x:f>IF($AK45="","",COUNTIF('3. 일출(의존)'!$AN$7:$AN$1989,$AK45))</x:f>
        <x:v/>
      </x:c>
      <x:c r="AU45" s="374" t="str">
        <x:f t="shared" si="72"/>
        <x:v/>
      </x:c>
      <x:c r="AV45" s="472" t="str">
        <x:f>IF($AN45="","",IF($AO45="지역개발기금",SUMIFS('3. 일출(의존)'!$AE$8:$AE$2000,'3. 일출(의존)'!$AS$8:$AS$2000,$AN45)+SUMIFS('3. 일출(자체)'!$AE$8:$AE$2000,'3. 일출(자체)'!$AM$8:$AM$2000,$AN45),IF($AO45="지방채",SUMIFS('3. 일출(의존)'!$AD$8:$AD$2000,'3. 일출(의존)'!$AS$8:$AS$2000,$AN45)+SUMIFS('3. 일출(자체)'!$AD$8:$AD$2000,'3. 일출(자체)'!$AM$8:$AM$2000,$AN45),0)))</x:f>
        <x:v/>
      </x:c>
      <x:c r="AW45" s="377" t="str">
        <x:f>IF($AN45="","",COUNTIF('3. 일출(의존)'!$AS$8:$AS$2000,$AN45)+COUNTIF('3. 일출(자체)'!$AM$8:$AM$2000,$AN45))</x:f>
        <x:v/>
      </x:c>
      <x:c r="AX45" s="374" t="str">
        <x:f t="shared" si="73"/>
        <x:v/>
      </x:c>
      <x:c r="AY45" s="91"/>
      <x:c r="AZ45" s="472" t="str">
        <x:f>IF($AK45="","",SUMIFS('3. 일출(의존)'!$AH$8:$AH$1989,'3. 일출(의존)'!$AN$8:$AN$1989,$AK45))</x:f>
        <x:v/>
      </x:c>
      <x:c r="BA45" s="377" t="str">
        <x:f>IF($AK45="","",COUNTIF('3. 일출(의존)'!$AN$7:$AN$1989,$AK45))</x:f>
        <x:v/>
      </x:c>
      <x:c r="BB45" s="374" t="str">
        <x:f t="shared" si="74"/>
        <x:v/>
      </x:c>
      <x:c r="BC45" s="472" t="str">
        <x:f>IF($AN45="","",IF($AO45="지역개발기금",SUMIFS('3. 일출(의존)'!$AK$8:$AK$2000,'3. 일출(의존)'!$AS$8:$AS$2000,$AN45)+SUMIFS('3. 일출(자체)'!$AJ$8:$AJ$2000,'3. 일출(자체)'!$AM$8:$AM$2000,$AN45),IF($AO45="지방채",SUMIFS('3. 일출(의존)'!$AJ$8:$AJ$2000,'3. 일출(의존)'!$AS$8:$AS$2000,$AN45)+SUMIFS('3. 일출(자체)'!$AI$8:$AI$2000,'3. 일출(자체)'!$AM$8:$AM$2000,$AN45),0)))</x:f>
        <x:v/>
      </x:c>
      <x:c r="BD45" s="377" t="str">
        <x:f>IF($AN45="","",COUNTIF('3. 일출(의존)'!$AS$8:$AS$2000,$AN45)+COUNTIF('3. 일출(자체)'!$AM$8:$AM$2000,$AN45))</x:f>
        <x:v/>
      </x:c>
      <x:c r="BE45" s="374" t="str">
        <x:f t="shared" si="75"/>
        <x:v/>
      </x:c>
    </x:row>
    <x:row r="46" spans="1:57" s="20" customFormat="1" ht="80.099999999999994" customHeight="1">
      <x:c r="A46" s="155" t="str">
        <x:f>IF(D46="","",COUNTA($C$8:C46)-COUNTBLANK($C$8:C46)+3)</x:f>
        <x:v/>
      </x:c>
      <x:c r="B46" s="156" t="str">
        <x: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x:f>
        <x:v/>
      </x:c>
      <x:c r="C46" s="156" t="str">
        <x:f>IF(D46="","",IF(OR(D46="교육지원과",D46="총무과",D46="인사과"),"직접입력",VLOOKUP(D46,구분표!$A$3:$C$258,3,)))</x:f>
        <x:v/>
      </x:c>
      <x:c r="D46" s="219"/>
      <x:c r="E46" s="213"/>
      <x:c r="F46" s="388" t="str">
        <x:f t="shared" si="76"/>
        <x:v/>
      </x:c>
      <x:c r="G46" s="388" t="str">
        <x:f t="shared" si="76"/>
        <x:v/>
      </x:c>
      <x:c r="H46" s="213"/>
      <x:c r="I46" s="156" t="str">
        <x:f>IF(H46="","",VLOOKUP($H46,구분표!$O$3:$P$168,2,FALSE))</x:f>
        <x:v/>
      </x:c>
      <x:c r="J46" s="215"/>
      <x:c r="K46" s="459" t="str">
        <x:f t="shared" si="77"/>
        <x:v/>
      </x:c>
      <x:c r="L46" s="459" t="str">
        <x:f t="shared" si="78"/>
        <x:v/>
      </x:c>
      <x:c r="M46" s="461" t="str">
        <x:f t="shared" si="57"/>
        <x:v/>
      </x:c>
      <x:c r="N46" s="460"/>
      <x:c r="O46" s="461">
        <x:f t="shared" si="58"/>
        <x:v>0</x:v>
      </x:c>
      <x:c r="P46" s="462"/>
      <x:c r="Q46" s="463">
        <x:f t="shared" si="59"/>
        <x:v>0</x:v>
      </x:c>
      <x:c r="R46" s="162" t="str">
        <x:f t="shared" si="60"/>
        <x:v>X</x:v>
      </x:c>
      <x:c r="S46" s="216"/>
      <x:c r="T46" s="327"/>
      <x:c r="U46" s="217"/>
      <x:c r="V46" s="203"/>
      <x:c r="W46" s="217"/>
      <x:c r="X46" s="217"/>
      <x:c r="Y46" s="162" t="str">
        <x:f t="shared" si="61"/>
        <x:v/>
      </x:c>
      <x:c r="Z46" s="45"/>
      <x:c r="AA46" s="471" t="str">
        <x:f t="shared" si="62"/>
        <x:v/>
      </x:c>
      <x:c r="AB46" s="471" t="str">
        <x:f t="shared" si="63"/>
        <x:v/>
      </x:c>
      <x:c r="AC46" s="471" t="str">
        <x:f t="shared" si="64"/>
        <x:v/>
      </x:c>
      <x:c r="AD46" s="471" t="str">
        <x:f t="shared" si="65"/>
        <x:v/>
      </x:c>
      <x:c r="AE46" s="46"/>
      <x:c r="AF46" s="471" t="str">
        <x:f t="shared" si="66"/>
        <x:v/>
      </x:c>
      <x:c r="AG46" s="471" t="str">
        <x:f t="shared" si="67"/>
        <x:v/>
      </x:c>
      <x:c r="AH46" s="471" t="str">
        <x:f t="shared" si="68"/>
        <x:v/>
      </x:c>
      <x:c r="AI46" s="471" t="str">
        <x:f t="shared" si="69"/>
        <x:v/>
      </x:c>
      <x:c r="AJ46" s="87"/>
      <x:c r="AK46" s="374" t="str">
        <x:f>IF($AQ46="","",IF(OR($AL46="",$AL46="도비"),"",CONCATENATE($AQ46,"-",COUNTIF($AQ$8:$AQ46,$AQ46))))</x:f>
        <x:v/>
      </x:c>
      <x:c r="AL46" s="374" t="str">
        <x:f t="shared" si="70"/>
        <x:v/>
      </x:c>
      <x:c r="AM46" s="87"/>
      <x:c r="AN46" s="375" t="str">
        <x:f>IF($AQ46="","",IF(OR($AO46="",$AO46="국비",$AO46="자체"),"",CONCATENATE($AQ46,"-",$AO46,"-",COUNTIF($AQ$8:$AQ46,$AQ46))))</x:f>
        <x:v/>
      </x:c>
      <x:c r="AO46" s="375" t="str">
        <x:f t="shared" si="71"/>
        <x:v/>
      </x:c>
      <x:c r="AP46" s="87"/>
      <x:c r="AQ46" s="374" t="str">
        <x:f t="array" ref="AQ46:AQ46">IF(OR($D46="",$C46="직접입력",$B46="직접입력"),"",INDEX(구분표!$I$2:$I$337,MATCH(1,(구분표!$G$2:$G$337='3. 일입'!$B46)*(구분표!$E$2:$E$337='3. 일입'!$C46)*(구분표!$F$2:$F$337='3. 일입'!$D46),0)))</x:f>
        <x:v/>
      </x:c>
      <x:c r="AR46" s="87"/>
      <x:c r="AS46" s="472" t="str">
        <x:f>IF($AK46="","",SUMIFS('3. 일출(의존)'!$AB$7:$AB$1989,'3. 일출(의존)'!$AN$7:$AN$1989,$AK46))</x:f>
        <x:v/>
      </x:c>
      <x:c r="AT46" s="377" t="str">
        <x:f>IF($AK46="","",COUNTIF('3. 일출(의존)'!$AN$7:$AN$1989,$AK46))</x:f>
        <x:v/>
      </x:c>
      <x:c r="AU46" s="374" t="str">
        <x:f t="shared" si="72"/>
        <x:v/>
      </x:c>
      <x:c r="AV46" s="472" t="str">
        <x:f>IF($AN46="","",IF($AO46="지역개발기금",SUMIFS('3. 일출(의존)'!$AE$8:$AE$2000,'3. 일출(의존)'!$AS$8:$AS$2000,$AN46)+SUMIFS('3. 일출(자체)'!$AE$8:$AE$2000,'3. 일출(자체)'!$AM$8:$AM$2000,$AN46),IF($AO46="지방채",SUMIFS('3. 일출(의존)'!$AD$8:$AD$2000,'3. 일출(의존)'!$AS$8:$AS$2000,$AN46)+SUMIFS('3. 일출(자체)'!$AD$8:$AD$2000,'3. 일출(자체)'!$AM$8:$AM$2000,$AN46),0)))</x:f>
        <x:v/>
      </x:c>
      <x:c r="AW46" s="377" t="str">
        <x:f>IF($AN46="","",COUNTIF('3. 일출(의존)'!$AS$8:$AS$2000,$AN46)+COUNTIF('3. 일출(자체)'!$AM$8:$AM$2000,$AN46))</x:f>
        <x:v/>
      </x:c>
      <x:c r="AX46" s="374" t="str">
        <x:f t="shared" si="73"/>
        <x:v/>
      </x:c>
      <x:c r="AY46" s="91"/>
      <x:c r="AZ46" s="472" t="str">
        <x:f>IF($AK46="","",SUMIFS('3. 일출(의존)'!$AH$8:$AH$1989,'3. 일출(의존)'!$AN$8:$AN$1989,$AK46))</x:f>
        <x:v/>
      </x:c>
      <x:c r="BA46" s="377" t="str">
        <x:f>IF($AK46="","",COUNTIF('3. 일출(의존)'!$AN$7:$AN$1989,$AK46))</x:f>
        <x:v/>
      </x:c>
      <x:c r="BB46" s="374" t="str">
        <x:f t="shared" si="74"/>
        <x:v/>
      </x:c>
      <x:c r="BC46" s="472" t="str">
        <x:f>IF($AN46="","",IF($AO46="지역개발기금",SUMIFS('3. 일출(의존)'!$AK$8:$AK$2000,'3. 일출(의존)'!$AS$8:$AS$2000,$AN46)+SUMIFS('3. 일출(자체)'!$AJ$8:$AJ$2000,'3. 일출(자체)'!$AM$8:$AM$2000,$AN46),IF($AO46="지방채",SUMIFS('3. 일출(의존)'!$AJ$8:$AJ$2000,'3. 일출(의존)'!$AS$8:$AS$2000,$AN46)+SUMIFS('3. 일출(자체)'!$AI$8:$AI$2000,'3. 일출(자체)'!$AM$8:$AM$2000,$AN46),0)))</x:f>
        <x:v/>
      </x:c>
      <x:c r="BD46" s="377" t="str">
        <x:f>IF($AN46="","",COUNTIF('3. 일출(의존)'!$AS$8:$AS$2000,$AN46)+COUNTIF('3. 일출(자체)'!$AM$8:$AM$2000,$AN46))</x:f>
        <x:v/>
      </x:c>
      <x:c r="BE46" s="374" t="str">
        <x:f t="shared" si="75"/>
        <x:v/>
      </x:c>
    </x:row>
    <x:row r="47" spans="1:57" s="20" customFormat="1" ht="80.099999999999994" customHeight="1">
      <x:c r="A47" s="155" t="str">
        <x:f>IF(D47="","",COUNTA($C$8:C47)-COUNTBLANK($C$8:C47)+3)</x:f>
        <x:v/>
      </x:c>
      <x:c r="B47" s="156" t="str">
        <x: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x:f>
        <x:v/>
      </x:c>
      <x:c r="C47" s="156" t="str">
        <x:f>IF(D47="","",IF(OR(D47="교육지원과",D47="총무과",D47="인사과"),"직접입력",VLOOKUP(D47,구분표!$A$3:$C$258,3,)))</x:f>
        <x:v/>
      </x:c>
      <x:c r="D47" s="219"/>
      <x:c r="E47" s="213"/>
      <x:c r="F47" s="388" t="str">
        <x:f t="shared" si="76"/>
        <x:v/>
      </x:c>
      <x:c r="G47" s="388" t="str">
        <x:f t="shared" si="76"/>
        <x:v/>
      </x:c>
      <x:c r="H47" s="213"/>
      <x:c r="I47" s="156" t="str">
        <x:f>IF(H47="","",VLOOKUP($H47,구분표!$O$3:$P$168,2,FALSE))</x:f>
        <x:v/>
      </x:c>
      <x:c r="J47" s="215"/>
      <x:c r="K47" s="459" t="str">
        <x:f t="shared" si="77"/>
        <x:v/>
      </x:c>
      <x:c r="L47" s="459" t="str">
        <x:f t="shared" si="78"/>
        <x:v/>
      </x:c>
      <x:c r="M47" s="461" t="str">
        <x:f t="shared" si="57"/>
        <x:v/>
      </x:c>
      <x:c r="N47" s="460"/>
      <x:c r="O47" s="461">
        <x:f t="shared" si="58"/>
        <x:v>0</x:v>
      </x:c>
      <x:c r="P47" s="462"/>
      <x:c r="Q47" s="463">
        <x:f t="shared" si="59"/>
        <x:v>0</x:v>
      </x:c>
      <x:c r="R47" s="162" t="str">
        <x:f t="shared" si="60"/>
        <x:v>X</x:v>
      </x:c>
      <x:c r="S47" s="216"/>
      <x:c r="T47" s="327"/>
      <x:c r="U47" s="217"/>
      <x:c r="V47" s="203"/>
      <x:c r="W47" s="217"/>
      <x:c r="X47" s="217"/>
      <x:c r="Y47" s="162" t="str">
        <x:f t="shared" si="61"/>
        <x:v/>
      </x:c>
      <x:c r="Z47" s="45"/>
      <x:c r="AA47" s="471" t="str">
        <x:f t="shared" si="62"/>
        <x:v/>
      </x:c>
      <x:c r="AB47" s="471" t="str">
        <x:f t="shared" si="63"/>
        <x:v/>
      </x:c>
      <x:c r="AC47" s="471" t="str">
        <x:f t="shared" si="64"/>
        <x:v/>
      </x:c>
      <x:c r="AD47" s="471" t="str">
        <x:f t="shared" si="65"/>
        <x:v/>
      </x:c>
      <x:c r="AE47" s="46"/>
      <x:c r="AF47" s="471" t="str">
        <x:f t="shared" si="66"/>
        <x:v/>
      </x:c>
      <x:c r="AG47" s="471" t="str">
        <x:f t="shared" si="67"/>
        <x:v/>
      </x:c>
      <x:c r="AH47" s="471" t="str">
        <x:f t="shared" si="68"/>
        <x:v/>
      </x:c>
      <x:c r="AI47" s="471" t="str">
        <x:f t="shared" si="69"/>
        <x:v/>
      </x:c>
      <x:c r="AJ47" s="87"/>
      <x:c r="AK47" s="374" t="str">
        <x:f>IF($AQ47="","",IF(OR($AL47="",$AL47="도비"),"",CONCATENATE($AQ47,"-",COUNTIF($AQ$8:$AQ47,$AQ47))))</x:f>
        <x:v/>
      </x:c>
      <x:c r="AL47" s="374" t="str">
        <x:f t="shared" si="70"/>
        <x:v/>
      </x:c>
      <x:c r="AM47" s="87"/>
      <x:c r="AN47" s="375" t="str">
        <x:f>IF($AQ47="","",IF(OR($AO47="",$AO47="국비",$AO47="자체"),"",CONCATENATE($AQ47,"-",$AO47,"-",COUNTIF($AQ$8:$AQ47,$AQ47))))</x:f>
        <x:v/>
      </x:c>
      <x:c r="AO47" s="375" t="str">
        <x:f t="shared" si="71"/>
        <x:v/>
      </x:c>
      <x:c r="AP47" s="87"/>
      <x:c r="AQ47" s="374" t="str">
        <x:f t="array" ref="AQ47:AQ47">IF(OR($D47="",$C47="직접입력",$B47="직접입력"),"",INDEX(구분표!$I$2:$I$337,MATCH(1,(구분표!$G$2:$G$337='3. 일입'!$B47)*(구분표!$E$2:$E$337='3. 일입'!$C47)*(구분표!$F$2:$F$337='3. 일입'!$D47),0)))</x:f>
        <x:v/>
      </x:c>
      <x:c r="AR47" s="87"/>
      <x:c r="AS47" s="472" t="str">
        <x:f>IF($AK47="","",SUMIFS('3. 일출(의존)'!$AB$7:$AB$1989,'3. 일출(의존)'!$AN$7:$AN$1989,$AK47))</x:f>
        <x:v/>
      </x:c>
      <x:c r="AT47" s="377" t="str">
        <x:f>IF($AK47="","",COUNTIF('3. 일출(의존)'!$AN$7:$AN$1989,$AK47))</x:f>
        <x:v/>
      </x:c>
      <x:c r="AU47" s="374" t="str">
        <x:f t="shared" si="72"/>
        <x:v/>
      </x:c>
      <x:c r="AV47" s="472" t="str">
        <x:f>IF($AN47="","",IF($AO47="지역개발기금",SUMIFS('3. 일출(의존)'!$AE$8:$AE$2000,'3. 일출(의존)'!$AS$8:$AS$2000,$AN47)+SUMIFS('3. 일출(자체)'!$AE$8:$AE$2000,'3. 일출(자체)'!$AM$8:$AM$2000,$AN47),IF($AO47="지방채",SUMIFS('3. 일출(의존)'!$AD$8:$AD$2000,'3. 일출(의존)'!$AS$8:$AS$2000,$AN47)+SUMIFS('3. 일출(자체)'!$AD$8:$AD$2000,'3. 일출(자체)'!$AM$8:$AM$2000,$AN47),0)))</x:f>
        <x:v/>
      </x:c>
      <x:c r="AW47" s="377" t="str">
        <x:f>IF($AN47="","",COUNTIF('3. 일출(의존)'!$AS$8:$AS$2000,$AN47)+COUNTIF('3. 일출(자체)'!$AM$8:$AM$2000,$AN47))</x:f>
        <x:v/>
      </x:c>
      <x:c r="AX47" s="374" t="str">
        <x:f t="shared" si="73"/>
        <x:v/>
      </x:c>
      <x:c r="AY47" s="91"/>
      <x:c r="AZ47" s="472" t="str">
        <x:f>IF($AK47="","",SUMIFS('3. 일출(의존)'!$AH$8:$AH$1989,'3. 일출(의존)'!$AN$8:$AN$1989,$AK47))</x:f>
        <x:v/>
      </x:c>
      <x:c r="BA47" s="377" t="str">
        <x:f>IF($AK47="","",COUNTIF('3. 일출(의존)'!$AN$7:$AN$1989,$AK47))</x:f>
        <x:v/>
      </x:c>
      <x:c r="BB47" s="374" t="str">
        <x:f t="shared" si="74"/>
        <x:v/>
      </x:c>
      <x:c r="BC47" s="472" t="str">
        <x:f>IF($AN47="","",IF($AO47="지역개발기금",SUMIFS('3. 일출(의존)'!$AK$8:$AK$2000,'3. 일출(의존)'!$AS$8:$AS$2000,$AN47)+SUMIFS('3. 일출(자체)'!$AJ$8:$AJ$2000,'3. 일출(자체)'!$AM$8:$AM$2000,$AN47),IF($AO47="지방채",SUMIFS('3. 일출(의존)'!$AJ$8:$AJ$2000,'3. 일출(의존)'!$AS$8:$AS$2000,$AN47)+SUMIFS('3. 일출(자체)'!$AI$8:$AI$2000,'3. 일출(자체)'!$AM$8:$AM$2000,$AN47),0)))</x:f>
        <x:v/>
      </x:c>
      <x:c r="BD47" s="377" t="str">
        <x:f>IF($AN47="","",COUNTIF('3. 일출(의존)'!$AS$8:$AS$2000,$AN47)+COUNTIF('3. 일출(자체)'!$AM$8:$AM$2000,$AN47))</x:f>
        <x:v/>
      </x:c>
      <x:c r="BE47" s="374" t="str">
        <x:f t="shared" si="75"/>
        <x:v/>
      </x:c>
    </x:row>
    <x:row r="48" spans="1:57" s="20" customFormat="1" ht="80.099999999999994" customHeight="1">
      <x:c r="A48" s="155" t="str">
        <x:f>IF(D48="","",COUNTA($C$8:C48)-COUNTBLANK($C$8:C48)+3)</x:f>
        <x:v/>
      </x:c>
      <x:c r="B48" s="156" t="str">
        <x: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x:f>
        <x:v/>
      </x:c>
      <x:c r="C48" s="156" t="str">
        <x:f>IF(D48="","",IF(OR(D48="교육지원과",D48="총무과",D48="인사과"),"직접입력",VLOOKUP(D48,구분표!$A$3:$C$258,3,)))</x:f>
        <x:v/>
      </x:c>
      <x:c r="D48" s="219"/>
      <x:c r="E48" s="213"/>
      <x:c r="F48" s="388" t="str">
        <x:f t="shared" si="76"/>
        <x:v/>
      </x:c>
      <x:c r="G48" s="388" t="str">
        <x:f t="shared" si="76"/>
        <x:v/>
      </x:c>
      <x:c r="H48" s="213"/>
      <x:c r="I48" s="156" t="str">
        <x:f>IF(H48="","",VLOOKUP($H48,구분표!$O$3:$P$168,2,FALSE))</x:f>
        <x:v/>
      </x:c>
      <x:c r="J48" s="215"/>
      <x:c r="K48" s="459" t="str">
        <x:f t="shared" si="77"/>
        <x:v/>
      </x:c>
      <x:c r="L48" s="459" t="str">
        <x:f t="shared" si="78"/>
        <x:v/>
      </x:c>
      <x:c r="M48" s="461" t="str">
        <x:f t="shared" si="57"/>
        <x:v/>
      </x:c>
      <x:c r="N48" s="460"/>
      <x:c r="O48" s="461">
        <x:f t="shared" si="58"/>
        <x:v>0</x:v>
      </x:c>
      <x:c r="P48" s="462"/>
      <x:c r="Q48" s="463">
        <x:f t="shared" si="59"/>
        <x:v>0</x:v>
      </x:c>
      <x:c r="R48" s="162" t="str">
        <x:f t="shared" si="60"/>
        <x:v>X</x:v>
      </x:c>
      <x:c r="S48" s="216"/>
      <x:c r="T48" s="327"/>
      <x:c r="U48" s="217"/>
      <x:c r="V48" s="203"/>
      <x:c r="W48" s="217"/>
      <x:c r="X48" s="217"/>
      <x:c r="Y48" s="162" t="str">
        <x:f t="shared" si="61"/>
        <x:v/>
      </x:c>
      <x:c r="Z48" s="45"/>
      <x:c r="AA48" s="471" t="str">
        <x:f t="shared" si="62"/>
        <x:v/>
      </x:c>
      <x:c r="AB48" s="471" t="str">
        <x:f t="shared" si="63"/>
        <x:v/>
      </x:c>
      <x:c r="AC48" s="471" t="str">
        <x:f t="shared" si="64"/>
        <x:v/>
      </x:c>
      <x:c r="AD48" s="471" t="str">
        <x:f t="shared" si="65"/>
        <x:v/>
      </x:c>
      <x:c r="AE48" s="46"/>
      <x:c r="AF48" s="471" t="str">
        <x:f t="shared" si="66"/>
        <x:v/>
      </x:c>
      <x:c r="AG48" s="471" t="str">
        <x:f t="shared" si="67"/>
        <x:v/>
      </x:c>
      <x:c r="AH48" s="471" t="str">
        <x:f t="shared" si="68"/>
        <x:v/>
      </x:c>
      <x:c r="AI48" s="471" t="str">
        <x:f t="shared" si="69"/>
        <x:v/>
      </x:c>
      <x:c r="AJ48" s="87"/>
      <x:c r="AK48" s="374" t="str">
        <x:f>IF($AQ48="","",IF(OR($AL48="",$AL48="도비"),"",CONCATENATE($AQ48,"-",COUNTIF($AQ$8:$AQ48,$AQ48))))</x:f>
        <x:v/>
      </x:c>
      <x:c r="AL48" s="374" t="str">
        <x:f t="shared" si="70"/>
        <x:v/>
      </x:c>
      <x:c r="AM48" s="87"/>
      <x:c r="AN48" s="375" t="str">
        <x:f>IF($AQ48="","",IF(OR($AO48="",$AO48="국비",$AO48="자체"),"",CONCATENATE($AQ48,"-",$AO48,"-",COUNTIF($AQ$8:$AQ48,$AQ48))))</x:f>
        <x:v/>
      </x:c>
      <x:c r="AO48" s="375" t="str">
        <x:f t="shared" si="71"/>
        <x:v/>
      </x:c>
      <x:c r="AP48" s="87"/>
      <x:c r="AQ48" s="374" t="str">
        <x:f t="array" ref="AQ48:AQ48">IF(OR($D48="",$C48="직접입력",$B48="직접입력"),"",INDEX(구분표!$I$2:$I$337,MATCH(1,(구분표!$G$2:$G$337='3. 일입'!$B48)*(구분표!$E$2:$E$337='3. 일입'!$C48)*(구분표!$F$2:$F$337='3. 일입'!$D48),0)))</x:f>
        <x:v/>
      </x:c>
      <x:c r="AR48" s="87"/>
      <x:c r="AS48" s="472" t="str">
        <x:f>IF($AK48="","",SUMIFS('3. 일출(의존)'!$AB$7:$AB$1989,'3. 일출(의존)'!$AN$7:$AN$1989,$AK48))</x:f>
        <x:v/>
      </x:c>
      <x:c r="AT48" s="377" t="str">
        <x:f>IF($AK48="","",COUNTIF('3. 일출(의존)'!$AN$7:$AN$1989,$AK48))</x:f>
        <x:v/>
      </x:c>
      <x:c r="AU48" s="374" t="str">
        <x:f t="shared" si="72"/>
        <x:v/>
      </x:c>
      <x:c r="AV48" s="472" t="str">
        <x:f>IF($AN48="","",IF($AO48="지역개발기금",SUMIFS('3. 일출(의존)'!$AE$8:$AE$2000,'3. 일출(의존)'!$AS$8:$AS$2000,$AN48)+SUMIFS('3. 일출(자체)'!$AE$8:$AE$2000,'3. 일출(자체)'!$AM$8:$AM$2000,$AN48),IF($AO48="지방채",SUMIFS('3. 일출(의존)'!$AD$8:$AD$2000,'3. 일출(의존)'!$AS$8:$AS$2000,$AN48)+SUMIFS('3. 일출(자체)'!$AD$8:$AD$2000,'3. 일출(자체)'!$AM$8:$AM$2000,$AN48),0)))</x:f>
        <x:v/>
      </x:c>
      <x:c r="AW48" s="377" t="str">
        <x:f>IF($AN48="","",COUNTIF('3. 일출(의존)'!$AS$8:$AS$2000,$AN48)+COUNTIF('3. 일출(자체)'!$AM$8:$AM$2000,$AN48))</x:f>
        <x:v/>
      </x:c>
      <x:c r="AX48" s="374" t="str">
        <x:f t="shared" si="73"/>
        <x:v/>
      </x:c>
      <x:c r="AY48" s="91"/>
      <x:c r="AZ48" s="472" t="str">
        <x:f>IF($AK48="","",SUMIFS('3. 일출(의존)'!$AH$8:$AH$1989,'3. 일출(의존)'!$AN$8:$AN$1989,$AK48))</x:f>
        <x:v/>
      </x:c>
      <x:c r="BA48" s="377" t="str">
        <x:f>IF($AK48="","",COUNTIF('3. 일출(의존)'!$AN$7:$AN$1989,$AK48))</x:f>
        <x:v/>
      </x:c>
      <x:c r="BB48" s="374" t="str">
        <x:f t="shared" si="74"/>
        <x:v/>
      </x:c>
      <x:c r="BC48" s="472" t="str">
        <x:f>IF($AN48="","",IF($AO48="지역개발기금",SUMIFS('3. 일출(의존)'!$AK$8:$AK$2000,'3. 일출(의존)'!$AS$8:$AS$2000,$AN48)+SUMIFS('3. 일출(자체)'!$AJ$8:$AJ$2000,'3. 일출(자체)'!$AM$8:$AM$2000,$AN48),IF($AO48="지방채",SUMIFS('3. 일출(의존)'!$AJ$8:$AJ$2000,'3. 일출(의존)'!$AS$8:$AS$2000,$AN48)+SUMIFS('3. 일출(자체)'!$AI$8:$AI$2000,'3. 일출(자체)'!$AM$8:$AM$2000,$AN48),0)))</x:f>
        <x:v/>
      </x:c>
      <x:c r="BD48" s="377" t="str">
        <x:f>IF($AN48="","",COUNTIF('3. 일출(의존)'!$AS$8:$AS$2000,$AN48)+COUNTIF('3. 일출(자체)'!$AM$8:$AM$2000,$AN48))</x:f>
        <x:v/>
      </x:c>
      <x:c r="BE48" s="374" t="str">
        <x:f t="shared" si="75"/>
        <x:v/>
      </x:c>
    </x:row>
    <x:row r="49" spans="1:57" s="20" customFormat="1" ht="80.099999999999994" customHeight="1">
      <x:c r="A49" s="155" t="str">
        <x:f>IF(D49="","",COUNTA($C$8:C49)-COUNTBLANK($C$8:C49)+3)</x:f>
        <x:v/>
      </x:c>
      <x:c r="B49" s="156" t="str">
        <x: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x:f>
        <x:v/>
      </x:c>
      <x:c r="C49" s="156" t="str">
        <x:f>IF(D49="","",IF(OR(D49="교육지원과",D49="총무과",D49="인사과"),"직접입력",VLOOKUP(D49,구분표!$A$3:$C$258,3,)))</x:f>
        <x:v/>
      </x:c>
      <x:c r="D49" s="219"/>
      <x:c r="E49" s="213"/>
      <x:c r="F49" s="388" t="str">
        <x:f t="shared" si="76"/>
        <x:v/>
      </x:c>
      <x:c r="G49" s="388" t="str">
        <x:f t="shared" si="76"/>
        <x:v/>
      </x:c>
      <x:c r="H49" s="213"/>
      <x:c r="I49" s="156" t="str">
        <x:f>IF(H49="","",VLOOKUP($H49,구분표!$O$3:$P$168,2,FALSE))</x:f>
        <x:v/>
      </x:c>
      <x:c r="J49" s="215"/>
      <x:c r="K49" s="459" t="str">
        <x:f t="shared" si="77"/>
        <x:v/>
      </x:c>
      <x:c r="L49" s="459" t="str">
        <x:f t="shared" si="78"/>
        <x:v/>
      </x:c>
      <x:c r="M49" s="461" t="str">
        <x:f t="shared" si="57"/>
        <x:v/>
      </x:c>
      <x:c r="N49" s="460"/>
      <x:c r="O49" s="461">
        <x:f t="shared" si="58"/>
        <x:v>0</x:v>
      </x:c>
      <x:c r="P49" s="462"/>
      <x:c r="Q49" s="463">
        <x:f t="shared" si="59"/>
        <x:v>0</x:v>
      </x:c>
      <x:c r="R49" s="162" t="str">
        <x:f t="shared" si="60"/>
        <x:v>X</x:v>
      </x:c>
      <x:c r="S49" s="216"/>
      <x:c r="T49" s="327"/>
      <x:c r="U49" s="217"/>
      <x:c r="V49" s="203"/>
      <x:c r="W49" s="217"/>
      <x:c r="X49" s="217"/>
      <x:c r="Y49" s="162" t="str">
        <x:f t="shared" si="61"/>
        <x:v/>
      </x:c>
      <x:c r="Z49" s="45"/>
      <x:c r="AA49" s="471" t="str">
        <x:f t="shared" si="62"/>
        <x:v/>
      </x:c>
      <x:c r="AB49" s="471" t="str">
        <x:f t="shared" si="63"/>
        <x:v/>
      </x:c>
      <x:c r="AC49" s="471" t="str">
        <x:f t="shared" si="64"/>
        <x:v/>
      </x:c>
      <x:c r="AD49" s="471" t="str">
        <x:f t="shared" si="65"/>
        <x:v/>
      </x:c>
      <x:c r="AE49" s="46"/>
      <x:c r="AF49" s="471" t="str">
        <x:f t="shared" si="66"/>
        <x:v/>
      </x:c>
      <x:c r="AG49" s="471" t="str">
        <x:f t="shared" si="67"/>
        <x:v/>
      </x:c>
      <x:c r="AH49" s="471" t="str">
        <x:f t="shared" si="68"/>
        <x:v/>
      </x:c>
      <x:c r="AI49" s="471" t="str">
        <x:f t="shared" si="69"/>
        <x:v/>
      </x:c>
      <x:c r="AJ49" s="87"/>
      <x:c r="AK49" s="374" t="str">
        <x:f>IF($AQ49="","",IF(OR($AL49="",$AL49="도비"),"",CONCATENATE($AQ49,"-",COUNTIF($AQ$8:$AQ49,$AQ49))))</x:f>
        <x:v/>
      </x:c>
      <x:c r="AL49" s="374" t="str">
        <x:f t="shared" si="70"/>
        <x:v/>
      </x:c>
      <x:c r="AM49" s="87"/>
      <x:c r="AN49" s="375" t="str">
        <x:f>IF($AQ49="","",IF(OR($AO49="",$AO49="국비",$AO49="자체"),"",CONCATENATE($AQ49,"-",$AO49,"-",COUNTIF($AQ$8:$AQ49,$AQ49))))</x:f>
        <x:v/>
      </x:c>
      <x:c r="AO49" s="375" t="str">
        <x:f t="shared" si="71"/>
        <x:v/>
      </x:c>
      <x:c r="AP49" s="87"/>
      <x:c r="AQ49" s="374" t="str">
        <x:f t="array" ref="AQ49:AQ49">IF(OR($D49="",$C49="직접입력",$B49="직접입력"),"",INDEX(구분표!$I$2:$I$337,MATCH(1,(구분표!$G$2:$G$337='3. 일입'!$B49)*(구분표!$E$2:$E$337='3. 일입'!$C49)*(구분표!$F$2:$F$337='3. 일입'!$D49),0)))</x:f>
        <x:v/>
      </x:c>
      <x:c r="AR49" s="87"/>
      <x:c r="AS49" s="472" t="str">
        <x:f>IF($AK49="","",SUMIFS('3. 일출(의존)'!$AB$7:$AB$1989,'3. 일출(의존)'!$AN$7:$AN$1989,$AK49))</x:f>
        <x:v/>
      </x:c>
      <x:c r="AT49" s="377" t="str">
        <x:f>IF($AK49="","",COUNTIF('3. 일출(의존)'!$AN$7:$AN$1989,$AK49))</x:f>
        <x:v/>
      </x:c>
      <x:c r="AU49" s="374" t="str">
        <x:f t="shared" si="72"/>
        <x:v/>
      </x:c>
      <x:c r="AV49" s="472" t="str">
        <x:f>IF($AN49="","",IF($AO49="지역개발기금",SUMIFS('3. 일출(의존)'!$AE$8:$AE$2000,'3. 일출(의존)'!$AS$8:$AS$2000,$AN49)+SUMIFS('3. 일출(자체)'!$AE$8:$AE$2000,'3. 일출(자체)'!$AM$8:$AM$2000,$AN49),IF($AO49="지방채",SUMIFS('3. 일출(의존)'!$AD$8:$AD$2000,'3. 일출(의존)'!$AS$8:$AS$2000,$AN49)+SUMIFS('3. 일출(자체)'!$AD$8:$AD$2000,'3. 일출(자체)'!$AM$8:$AM$2000,$AN49),0)))</x:f>
        <x:v/>
      </x:c>
      <x:c r="AW49" s="377" t="str">
        <x:f>IF($AN49="","",COUNTIF('3. 일출(의존)'!$AS$8:$AS$2000,$AN49)+COUNTIF('3. 일출(자체)'!$AM$8:$AM$2000,$AN49))</x:f>
        <x:v/>
      </x:c>
      <x:c r="AX49" s="374" t="str">
        <x:f t="shared" si="73"/>
        <x:v/>
      </x:c>
      <x:c r="AY49" s="91"/>
      <x:c r="AZ49" s="472" t="str">
        <x:f>IF($AK49="","",SUMIFS('3. 일출(의존)'!$AH$8:$AH$1989,'3. 일출(의존)'!$AN$8:$AN$1989,$AK49))</x:f>
        <x:v/>
      </x:c>
      <x:c r="BA49" s="377" t="str">
        <x:f>IF($AK49="","",COUNTIF('3. 일출(의존)'!$AN$7:$AN$1989,$AK49))</x:f>
        <x:v/>
      </x:c>
      <x:c r="BB49" s="374" t="str">
        <x:f t="shared" si="74"/>
        <x:v/>
      </x:c>
      <x:c r="BC49" s="472" t="str">
        <x:f>IF($AN49="","",IF($AO49="지역개발기금",SUMIFS('3. 일출(의존)'!$AK$8:$AK$2000,'3. 일출(의존)'!$AS$8:$AS$2000,$AN49)+SUMIFS('3. 일출(자체)'!$AJ$8:$AJ$2000,'3. 일출(자체)'!$AM$8:$AM$2000,$AN49),IF($AO49="지방채",SUMIFS('3. 일출(의존)'!$AJ$8:$AJ$2000,'3. 일출(의존)'!$AS$8:$AS$2000,$AN49)+SUMIFS('3. 일출(자체)'!$AI$8:$AI$2000,'3. 일출(자체)'!$AM$8:$AM$2000,$AN49),0)))</x:f>
        <x:v/>
      </x:c>
      <x:c r="BD49" s="377" t="str">
        <x:f>IF($AN49="","",COUNTIF('3. 일출(의존)'!$AS$8:$AS$2000,$AN49)+COUNTIF('3. 일출(자체)'!$AM$8:$AM$2000,$AN49))</x:f>
        <x:v/>
      </x:c>
      <x:c r="BE49" s="374" t="str">
        <x:f t="shared" si="75"/>
        <x:v/>
      </x:c>
    </x:row>
    <x:row r="50" spans="1:57" s="20" customFormat="1" ht="80.099999999999994" customHeight="1">
      <x:c r="A50" s="155" t="str">
        <x:f>IF(D50="","",COUNTA($C$8:C50)-COUNTBLANK($C$8:C50)+3)</x:f>
        <x:v/>
      </x:c>
      <x:c r="B50" s="156" t="str">
        <x: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x:f>
        <x:v/>
      </x:c>
      <x:c r="C50" s="156" t="str">
        <x:f>IF(D50="","",IF(OR(D50="교육지원과",D50="총무과",D50="인사과"),"직접입력",VLOOKUP(D50,구분표!$A$3:$C$258,3,)))</x:f>
        <x:v/>
      </x:c>
      <x:c r="D50" s="219"/>
      <x:c r="E50" s="213"/>
      <x:c r="F50" s="388" t="str">
        <x:f t="shared" si="76"/>
        <x:v/>
      </x:c>
      <x:c r="G50" s="388" t="str">
        <x:f t="shared" si="76"/>
        <x:v/>
      </x:c>
      <x:c r="H50" s="213"/>
      <x:c r="I50" s="156" t="str">
        <x:f>IF(H50="","",VLOOKUP($H50,구분표!$O$3:$P$168,2,FALSE))</x:f>
        <x:v/>
      </x:c>
      <x:c r="J50" s="215"/>
      <x:c r="K50" s="459" t="str">
        <x:f t="shared" si="77"/>
        <x:v/>
      </x:c>
      <x:c r="L50" s="459" t="str">
        <x:f t="shared" si="78"/>
        <x:v/>
      </x:c>
      <x:c r="M50" s="461" t="str">
        <x:f t="shared" si="57"/>
        <x:v/>
      </x:c>
      <x:c r="N50" s="460"/>
      <x:c r="O50" s="461">
        <x:f t="shared" si="58"/>
        <x:v>0</x:v>
      </x:c>
      <x:c r="P50" s="462"/>
      <x:c r="Q50" s="463">
        <x:f t="shared" si="59"/>
        <x:v>0</x:v>
      </x:c>
      <x:c r="R50" s="162" t="str">
        <x:f t="shared" si="60"/>
        <x:v>X</x:v>
      </x:c>
      <x:c r="S50" s="216"/>
      <x:c r="T50" s="327"/>
      <x:c r="U50" s="217"/>
      <x:c r="V50" s="203"/>
      <x:c r="W50" s="217"/>
      <x:c r="X50" s="217"/>
      <x:c r="Y50" s="162" t="str">
        <x:f t="shared" si="61"/>
        <x:v/>
      </x:c>
      <x:c r="Z50" s="45"/>
      <x:c r="AA50" s="471" t="str">
        <x:f t="shared" si="62"/>
        <x:v/>
      </x:c>
      <x:c r="AB50" s="471" t="str">
        <x:f t="shared" si="63"/>
        <x:v/>
      </x:c>
      <x:c r="AC50" s="471" t="str">
        <x:f t="shared" si="64"/>
        <x:v/>
      </x:c>
      <x:c r="AD50" s="471" t="str">
        <x:f t="shared" si="65"/>
        <x:v/>
      </x:c>
      <x:c r="AE50" s="46"/>
      <x:c r="AF50" s="471" t="str">
        <x:f t="shared" si="66"/>
        <x:v/>
      </x:c>
      <x:c r="AG50" s="471" t="str">
        <x:f t="shared" si="67"/>
        <x:v/>
      </x:c>
      <x:c r="AH50" s="471" t="str">
        <x:f t="shared" si="68"/>
        <x:v/>
      </x:c>
      <x:c r="AI50" s="471" t="str">
        <x:f t="shared" si="69"/>
        <x:v/>
      </x:c>
      <x:c r="AJ50" s="87"/>
      <x:c r="AK50" s="374" t="str">
        <x:f>IF($AQ50="","",IF(OR($AL50="",$AL50="도비"),"",CONCATENATE($AQ50,"-",COUNTIF($AQ$8:$AQ50,$AQ50))))</x:f>
        <x:v/>
      </x:c>
      <x:c r="AL50" s="374" t="str">
        <x:f t="shared" si="70"/>
        <x:v/>
      </x:c>
      <x:c r="AM50" s="87"/>
      <x:c r="AN50" s="375" t="str">
        <x:f>IF($AQ50="","",IF(OR($AO50="",$AO50="국비",$AO50="자체"),"",CONCATENATE($AQ50,"-",$AO50,"-",COUNTIF($AQ$8:$AQ50,$AQ50))))</x:f>
        <x:v/>
      </x:c>
      <x:c r="AO50" s="375" t="str">
        <x:f t="shared" si="71"/>
        <x:v/>
      </x:c>
      <x:c r="AP50" s="87"/>
      <x:c r="AQ50" s="374" t="str">
        <x:f t="array" ref="AQ50:AQ50">IF(OR($D50="",$C50="직접입력",$B50="직접입력"),"",INDEX(구분표!$I$2:$I$337,MATCH(1,(구분표!$G$2:$G$337='3. 일입'!$B50)*(구분표!$E$2:$E$337='3. 일입'!$C50)*(구분표!$F$2:$F$337='3. 일입'!$D50),0)))</x:f>
        <x:v/>
      </x:c>
      <x:c r="AR50" s="87"/>
      <x:c r="AS50" s="472" t="str">
        <x:f>IF($AK50="","",SUMIFS('3. 일출(의존)'!$AB$7:$AB$1989,'3. 일출(의존)'!$AN$7:$AN$1989,$AK50))</x:f>
        <x:v/>
      </x:c>
      <x:c r="AT50" s="377" t="str">
        <x:f>IF($AK50="","",COUNTIF('3. 일출(의존)'!$AN$7:$AN$1989,$AK50))</x:f>
        <x:v/>
      </x:c>
      <x:c r="AU50" s="374" t="str">
        <x:f t="shared" si="72"/>
        <x:v/>
      </x:c>
      <x:c r="AV50" s="472" t="str">
        <x:f>IF($AN50="","",IF($AO50="지역개발기금",SUMIFS('3. 일출(의존)'!$AE$8:$AE$2000,'3. 일출(의존)'!$AS$8:$AS$2000,$AN50)+SUMIFS('3. 일출(자체)'!$AE$8:$AE$2000,'3. 일출(자체)'!$AM$8:$AM$2000,$AN50),IF($AO50="지방채",SUMIFS('3. 일출(의존)'!$AD$8:$AD$2000,'3. 일출(의존)'!$AS$8:$AS$2000,$AN50)+SUMIFS('3. 일출(자체)'!$AD$8:$AD$2000,'3. 일출(자체)'!$AM$8:$AM$2000,$AN50),0)))</x:f>
        <x:v/>
      </x:c>
      <x:c r="AW50" s="377" t="str">
        <x:f>IF($AN50="","",COUNTIF('3. 일출(의존)'!$AS$8:$AS$2000,$AN50)+COUNTIF('3. 일출(자체)'!$AM$8:$AM$2000,$AN50))</x:f>
        <x:v/>
      </x:c>
      <x:c r="AX50" s="374" t="str">
        <x:f t="shared" si="73"/>
        <x:v/>
      </x:c>
      <x:c r="AY50" s="91"/>
      <x:c r="AZ50" s="472" t="str">
        <x:f>IF($AK50="","",SUMIFS('3. 일출(의존)'!$AH$8:$AH$1989,'3. 일출(의존)'!$AN$8:$AN$1989,$AK50))</x:f>
        <x:v/>
      </x:c>
      <x:c r="BA50" s="377" t="str">
        <x:f>IF($AK50="","",COUNTIF('3. 일출(의존)'!$AN$7:$AN$1989,$AK50))</x:f>
        <x:v/>
      </x:c>
      <x:c r="BB50" s="374" t="str">
        <x:f t="shared" si="74"/>
        <x:v/>
      </x:c>
      <x:c r="BC50" s="472" t="str">
        <x:f>IF($AN50="","",IF($AO50="지역개발기금",SUMIFS('3. 일출(의존)'!$AK$8:$AK$2000,'3. 일출(의존)'!$AS$8:$AS$2000,$AN50)+SUMIFS('3. 일출(자체)'!$AJ$8:$AJ$2000,'3. 일출(자체)'!$AM$8:$AM$2000,$AN50),IF($AO50="지방채",SUMIFS('3. 일출(의존)'!$AJ$8:$AJ$2000,'3. 일출(의존)'!$AS$8:$AS$2000,$AN50)+SUMIFS('3. 일출(자체)'!$AI$8:$AI$2000,'3. 일출(자체)'!$AM$8:$AM$2000,$AN50),0)))</x:f>
        <x:v/>
      </x:c>
      <x:c r="BD50" s="377" t="str">
        <x:f>IF($AN50="","",COUNTIF('3. 일출(의존)'!$AS$8:$AS$2000,$AN50)+COUNTIF('3. 일출(자체)'!$AM$8:$AM$2000,$AN50))</x:f>
        <x:v/>
      </x:c>
      <x:c r="BE50" s="374" t="str">
        <x:f t="shared" si="75"/>
        <x:v/>
      </x:c>
    </x:row>
    <x:row r="51" spans="1:57" s="20" customFormat="1" ht="80.099999999999994" customHeight="1">
      <x:c r="A51" s="155" t="str">
        <x:f>IF(D51="","",COUNTA($C$8:C51)-COUNTBLANK($C$8:C51)+3)</x:f>
        <x:v/>
      </x:c>
      <x:c r="B51" s="156" t="str">
        <x: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x:f>
        <x:v/>
      </x:c>
      <x:c r="C51" s="156" t="str">
        <x:f>IF(D51="","",IF(OR(D51="교육지원과",D51="총무과",D51="인사과"),"직접입력",VLOOKUP(D51,구분표!$A$3:$C$258,3,)))</x:f>
        <x:v/>
      </x:c>
      <x:c r="D51" s="219"/>
      <x:c r="E51" s="213"/>
      <x:c r="F51" s="388" t="str">
        <x:f t="shared" si="76"/>
        <x:v/>
      </x:c>
      <x:c r="G51" s="388" t="str">
        <x:f t="shared" si="76"/>
        <x:v/>
      </x:c>
      <x:c r="H51" s="213"/>
      <x:c r="I51" s="156" t="str">
        <x:f>IF(H51="","",VLOOKUP($H51,구분표!$O$3:$P$168,2,FALSE))</x:f>
        <x:v/>
      </x:c>
      <x:c r="J51" s="215"/>
      <x:c r="K51" s="459" t="str">
        <x:f t="shared" si="77"/>
        <x:v/>
      </x:c>
      <x:c r="L51" s="459" t="str">
        <x:f t="shared" si="78"/>
        <x:v/>
      </x:c>
      <x:c r="M51" s="461" t="str">
        <x:f t="shared" si="57"/>
        <x:v/>
      </x:c>
      <x:c r="N51" s="460"/>
      <x:c r="O51" s="461">
        <x:f t="shared" si="58"/>
        <x:v>0</x:v>
      </x:c>
      <x:c r="P51" s="462"/>
      <x:c r="Q51" s="463">
        <x:f t="shared" si="59"/>
        <x:v>0</x:v>
      </x:c>
      <x:c r="R51" s="162" t="str">
        <x:f t="shared" si="60"/>
        <x:v>X</x:v>
      </x:c>
      <x:c r="S51" s="216"/>
      <x:c r="T51" s="327"/>
      <x:c r="U51" s="217"/>
      <x:c r="V51" s="203"/>
      <x:c r="W51" s="217"/>
      <x:c r="X51" s="217"/>
      <x:c r="Y51" s="162" t="str">
        <x:f t="shared" si="61"/>
        <x:v/>
      </x:c>
      <x:c r="Z51" s="45"/>
      <x:c r="AA51" s="471" t="str">
        <x:f t="shared" si="62"/>
        <x:v/>
      </x:c>
      <x:c r="AB51" s="471" t="str">
        <x:f t="shared" si="63"/>
        <x:v/>
      </x:c>
      <x:c r="AC51" s="471" t="str">
        <x:f t="shared" si="64"/>
        <x:v/>
      </x:c>
      <x:c r="AD51" s="471" t="str">
        <x:f t="shared" si="65"/>
        <x:v/>
      </x:c>
      <x:c r="AE51" s="46"/>
      <x:c r="AF51" s="471" t="str">
        <x:f t="shared" si="66"/>
        <x:v/>
      </x:c>
      <x:c r="AG51" s="471" t="str">
        <x:f t="shared" si="67"/>
        <x:v/>
      </x:c>
      <x:c r="AH51" s="471" t="str">
        <x:f t="shared" si="68"/>
        <x:v/>
      </x:c>
      <x:c r="AI51" s="471" t="str">
        <x:f t="shared" si="69"/>
        <x:v/>
      </x:c>
      <x:c r="AJ51" s="87"/>
      <x:c r="AK51" s="374" t="str">
        <x:f>IF($AQ51="","",IF(OR($AL51="",$AL51="도비"),"",CONCATENATE($AQ51,"-",COUNTIF($AQ$8:$AQ51,$AQ51))))</x:f>
        <x:v/>
      </x:c>
      <x:c r="AL51" s="374" t="str">
        <x:f t="shared" si="70"/>
        <x:v/>
      </x:c>
      <x:c r="AM51" s="87"/>
      <x:c r="AN51" s="375" t="str">
        <x:f>IF($AQ51="","",IF(OR($AO51="",$AO51="국비",$AO51="자체"),"",CONCATENATE($AQ51,"-",$AO51,"-",COUNTIF($AQ$8:$AQ51,$AQ51))))</x:f>
        <x:v/>
      </x:c>
      <x:c r="AO51" s="375" t="str">
        <x:f t="shared" si="71"/>
        <x:v/>
      </x:c>
      <x:c r="AP51" s="87"/>
      <x:c r="AQ51" s="374" t="str">
        <x:f t="array" ref="AQ51:AQ51">IF(OR($D51="",$C51="직접입력",$B51="직접입력"),"",INDEX(구분표!$I$2:$I$337,MATCH(1,(구분표!$G$2:$G$337='3. 일입'!$B51)*(구분표!$E$2:$E$337='3. 일입'!$C51)*(구분표!$F$2:$F$337='3. 일입'!$D51),0)))</x:f>
        <x:v/>
      </x:c>
      <x:c r="AR51" s="87"/>
      <x:c r="AS51" s="472" t="str">
        <x:f>IF($AK51="","",SUMIFS('3. 일출(의존)'!$AB$7:$AB$1989,'3. 일출(의존)'!$AN$7:$AN$1989,$AK51))</x:f>
        <x:v/>
      </x:c>
      <x:c r="AT51" s="377" t="str">
        <x:f>IF($AK51="","",COUNTIF('3. 일출(의존)'!$AN$7:$AN$1989,$AK51))</x:f>
        <x:v/>
      </x:c>
      <x:c r="AU51" s="374" t="str">
        <x:f t="shared" si="72"/>
        <x:v/>
      </x:c>
      <x:c r="AV51" s="472" t="str">
        <x:f>IF($AN51="","",IF($AO51="지역개발기금",SUMIFS('3. 일출(의존)'!$AE$8:$AE$2000,'3. 일출(의존)'!$AS$8:$AS$2000,$AN51)+SUMIFS('3. 일출(자체)'!$AE$8:$AE$2000,'3. 일출(자체)'!$AM$8:$AM$2000,$AN51),IF($AO51="지방채",SUMIFS('3. 일출(의존)'!$AD$8:$AD$2000,'3. 일출(의존)'!$AS$8:$AS$2000,$AN51)+SUMIFS('3. 일출(자체)'!$AD$8:$AD$2000,'3. 일출(자체)'!$AM$8:$AM$2000,$AN51),0)))</x:f>
        <x:v/>
      </x:c>
      <x:c r="AW51" s="377" t="str">
        <x:f>IF($AN51="","",COUNTIF('3. 일출(의존)'!$AS$8:$AS$2000,$AN51)+COUNTIF('3. 일출(자체)'!$AM$8:$AM$2000,$AN51))</x:f>
        <x:v/>
      </x:c>
      <x:c r="AX51" s="374" t="str">
        <x:f t="shared" si="73"/>
        <x:v/>
      </x:c>
      <x:c r="AY51" s="91"/>
      <x:c r="AZ51" s="472" t="str">
        <x:f>IF($AK51="","",SUMIFS('3. 일출(의존)'!$AH$8:$AH$1989,'3. 일출(의존)'!$AN$8:$AN$1989,$AK51))</x:f>
        <x:v/>
      </x:c>
      <x:c r="BA51" s="377" t="str">
        <x:f>IF($AK51="","",COUNTIF('3. 일출(의존)'!$AN$7:$AN$1989,$AK51))</x:f>
        <x:v/>
      </x:c>
      <x:c r="BB51" s="374" t="str">
        <x:f t="shared" si="74"/>
        <x:v/>
      </x:c>
      <x:c r="BC51" s="472" t="str">
        <x:f>IF($AN51="","",IF($AO51="지역개발기금",SUMIFS('3. 일출(의존)'!$AK$8:$AK$2000,'3. 일출(의존)'!$AS$8:$AS$2000,$AN51)+SUMIFS('3. 일출(자체)'!$AJ$8:$AJ$2000,'3. 일출(자체)'!$AM$8:$AM$2000,$AN51),IF($AO51="지방채",SUMIFS('3. 일출(의존)'!$AJ$8:$AJ$2000,'3. 일출(의존)'!$AS$8:$AS$2000,$AN51)+SUMIFS('3. 일출(자체)'!$AI$8:$AI$2000,'3. 일출(자체)'!$AM$8:$AM$2000,$AN51),0)))</x:f>
        <x:v/>
      </x:c>
      <x:c r="BD51" s="377" t="str">
        <x:f>IF($AN51="","",COUNTIF('3. 일출(의존)'!$AS$8:$AS$2000,$AN51)+COUNTIF('3. 일출(자체)'!$AM$8:$AM$2000,$AN51))</x:f>
        <x:v/>
      </x:c>
      <x:c r="BE51" s="374" t="str">
        <x:f t="shared" si="75"/>
        <x:v/>
      </x:c>
    </x:row>
    <x:row r="52" spans="1:57" s="20" customFormat="1" ht="80.099999999999994" customHeight="1">
      <x:c r="A52" s="155" t="str">
        <x:f>IF(D52="","",COUNTA($C$8:C52)-COUNTBLANK($C$8:C52)+3)</x:f>
        <x:v/>
      </x:c>
      <x:c r="B52" s="156" t="str">
        <x: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x:f>
        <x:v/>
      </x:c>
      <x:c r="C52" s="156" t="str">
        <x:f>IF(D52="","",IF(OR(D52="교육지원과",D52="총무과",D52="인사과"),"직접입력",VLOOKUP(D52,구분표!$A$3:$C$258,3,)))</x:f>
        <x:v/>
      </x:c>
      <x:c r="D52" s="219"/>
      <x:c r="E52" s="213"/>
      <x:c r="F52" s="388" t="str">
        <x:f t="shared" si="76"/>
        <x:v/>
      </x:c>
      <x:c r="G52" s="388" t="str">
        <x:f t="shared" si="76"/>
        <x:v/>
      </x:c>
      <x:c r="H52" s="213"/>
      <x:c r="I52" s="156" t="str">
        <x:f>IF(H52="","",VLOOKUP($H52,구분표!$O$3:$P$168,2,FALSE))</x:f>
        <x:v/>
      </x:c>
      <x:c r="J52" s="215"/>
      <x:c r="K52" s="459" t="str">
        <x:f t="shared" si="77"/>
        <x:v/>
      </x:c>
      <x:c r="L52" s="459" t="str">
        <x:f t="shared" si="78"/>
        <x:v/>
      </x:c>
      <x:c r="M52" s="461" t="str">
        <x:f t="shared" si="57"/>
        <x:v/>
      </x:c>
      <x:c r="N52" s="460"/>
      <x:c r="O52" s="461">
        <x:f t="shared" si="58"/>
        <x:v>0</x:v>
      </x:c>
      <x:c r="P52" s="462"/>
      <x:c r="Q52" s="463">
        <x:f t="shared" si="59"/>
        <x:v>0</x:v>
      </x:c>
      <x:c r="R52" s="162" t="str">
        <x:f t="shared" si="60"/>
        <x:v>X</x:v>
      </x:c>
      <x:c r="S52" s="216"/>
      <x:c r="T52" s="327"/>
      <x:c r="U52" s="217"/>
      <x:c r="V52" s="203"/>
      <x:c r="W52" s="217"/>
      <x:c r="X52" s="217"/>
      <x:c r="Y52" s="162" t="str">
        <x:f t="shared" si="61"/>
        <x:v/>
      </x:c>
      <x:c r="Z52" s="45"/>
      <x:c r="AA52" s="471" t="str">
        <x:f t="shared" si="62"/>
        <x:v/>
      </x:c>
      <x:c r="AB52" s="471" t="str">
        <x:f t="shared" si="63"/>
        <x:v/>
      </x:c>
      <x:c r="AC52" s="471" t="str">
        <x:f t="shared" si="64"/>
        <x:v/>
      </x:c>
      <x:c r="AD52" s="471" t="str">
        <x:f t="shared" si="65"/>
        <x:v/>
      </x:c>
      <x:c r="AE52" s="46"/>
      <x:c r="AF52" s="471" t="str">
        <x:f t="shared" si="66"/>
        <x:v/>
      </x:c>
      <x:c r="AG52" s="471" t="str">
        <x:f t="shared" si="67"/>
        <x:v/>
      </x:c>
      <x:c r="AH52" s="471" t="str">
        <x:f t="shared" si="68"/>
        <x:v/>
      </x:c>
      <x:c r="AI52" s="471" t="str">
        <x:f t="shared" si="69"/>
        <x:v/>
      </x:c>
      <x:c r="AJ52" s="87"/>
      <x:c r="AK52" s="374" t="str">
        <x:f>IF($AQ52="","",IF(OR($AL52="",$AL52="도비"),"",CONCATENATE($AQ52,"-",COUNTIF($AQ$8:$AQ52,$AQ52))))</x:f>
        <x:v/>
      </x:c>
      <x:c r="AL52" s="374" t="str">
        <x:f t="shared" si="70"/>
        <x:v/>
      </x:c>
      <x:c r="AM52" s="87"/>
      <x:c r="AN52" s="375" t="str">
        <x:f>IF($AQ52="","",IF(OR($AO52="",$AO52="국비",$AO52="자체"),"",CONCATENATE($AQ52,"-",$AO52,"-",COUNTIF($AQ$8:$AQ52,$AQ52))))</x:f>
        <x:v/>
      </x:c>
      <x:c r="AO52" s="375" t="str">
        <x:f t="shared" si="71"/>
        <x:v/>
      </x:c>
      <x:c r="AP52" s="87"/>
      <x:c r="AQ52" s="374" t="str">
        <x:f t="array" ref="AQ52:AQ52">IF(OR($D52="",$C52="직접입력",$B52="직접입력"),"",INDEX(구분표!$I$2:$I$337,MATCH(1,(구분표!$G$2:$G$337='3. 일입'!$B52)*(구분표!$E$2:$E$337='3. 일입'!$C52)*(구분표!$F$2:$F$337='3. 일입'!$D52),0)))</x:f>
        <x:v/>
      </x:c>
      <x:c r="AR52" s="87"/>
      <x:c r="AS52" s="472" t="str">
        <x:f>IF($AK52="","",SUMIFS('3. 일출(의존)'!$AB$7:$AB$1989,'3. 일출(의존)'!$AN$7:$AN$1989,$AK52))</x:f>
        <x:v/>
      </x:c>
      <x:c r="AT52" s="377" t="str">
        <x:f>IF($AK52="","",COUNTIF('3. 일출(의존)'!$AN$7:$AN$1989,$AK52))</x:f>
        <x:v/>
      </x:c>
      <x:c r="AU52" s="374" t="str">
        <x:f t="shared" si="72"/>
        <x:v/>
      </x:c>
      <x:c r="AV52" s="472" t="str">
        <x:f>IF($AN52="","",IF($AO52="지역개발기금",SUMIFS('3. 일출(의존)'!$AE$8:$AE$2000,'3. 일출(의존)'!$AS$8:$AS$2000,$AN52)+SUMIFS('3. 일출(자체)'!$AE$8:$AE$2000,'3. 일출(자체)'!$AM$8:$AM$2000,$AN52),IF($AO52="지방채",SUMIFS('3. 일출(의존)'!$AD$8:$AD$2000,'3. 일출(의존)'!$AS$8:$AS$2000,$AN52)+SUMIFS('3. 일출(자체)'!$AD$8:$AD$2000,'3. 일출(자체)'!$AM$8:$AM$2000,$AN52),0)))</x:f>
        <x:v/>
      </x:c>
      <x:c r="AW52" s="377" t="str">
        <x:f>IF($AN52="","",COUNTIF('3. 일출(의존)'!$AS$8:$AS$2000,$AN52)+COUNTIF('3. 일출(자체)'!$AM$8:$AM$2000,$AN52))</x:f>
        <x:v/>
      </x:c>
      <x:c r="AX52" s="374" t="str">
        <x:f t="shared" si="73"/>
        <x:v/>
      </x:c>
      <x:c r="AY52" s="91"/>
      <x:c r="AZ52" s="472" t="str">
        <x:f>IF($AK52="","",SUMIFS('3. 일출(의존)'!$AH$8:$AH$1989,'3. 일출(의존)'!$AN$8:$AN$1989,$AK52))</x:f>
        <x:v/>
      </x:c>
      <x:c r="BA52" s="377" t="str">
        <x:f>IF($AK52="","",COUNTIF('3. 일출(의존)'!$AN$7:$AN$1989,$AK52))</x:f>
        <x:v/>
      </x:c>
      <x:c r="BB52" s="374" t="str">
        <x:f t="shared" si="74"/>
        <x:v/>
      </x:c>
      <x:c r="BC52" s="472" t="str">
        <x:f>IF($AN52="","",IF($AO52="지역개발기금",SUMIFS('3. 일출(의존)'!$AK$8:$AK$2000,'3. 일출(의존)'!$AS$8:$AS$2000,$AN52)+SUMIFS('3. 일출(자체)'!$AJ$8:$AJ$2000,'3. 일출(자체)'!$AM$8:$AM$2000,$AN52),IF($AO52="지방채",SUMIFS('3. 일출(의존)'!$AJ$8:$AJ$2000,'3. 일출(의존)'!$AS$8:$AS$2000,$AN52)+SUMIFS('3. 일출(자체)'!$AI$8:$AI$2000,'3. 일출(자체)'!$AM$8:$AM$2000,$AN52),0)))</x:f>
        <x:v/>
      </x:c>
      <x:c r="BD52" s="377" t="str">
        <x:f>IF($AN52="","",COUNTIF('3. 일출(의존)'!$AS$8:$AS$2000,$AN52)+COUNTIF('3. 일출(자체)'!$AM$8:$AM$2000,$AN52))</x:f>
        <x:v/>
      </x:c>
      <x:c r="BE52" s="374" t="str">
        <x:f t="shared" si="75"/>
        <x:v/>
      </x:c>
    </x:row>
    <x:row r="53" spans="1:57" s="20" customFormat="1" ht="80.099999999999994" customHeight="1">
      <x:c r="A53" s="155" t="str">
        <x:f>IF(D53="","",COUNTA($C$8:C53)-COUNTBLANK($C$8:C53)+3)</x:f>
        <x:v/>
      </x:c>
      <x:c r="B53" s="156" t="str">
        <x: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x:f>
        <x:v/>
      </x:c>
      <x:c r="C53" s="156" t="str">
        <x:f>IF(D53="","",IF(OR(D53="교육지원과",D53="총무과",D53="인사과"),"직접입력",VLOOKUP(D53,구분표!$A$3:$C$258,3,)))</x:f>
        <x:v/>
      </x:c>
      <x:c r="D53" s="219"/>
      <x:c r="E53" s="213"/>
      <x:c r="F53" s="388" t="str">
        <x:f t="shared" si="76"/>
        <x:v/>
      </x:c>
      <x:c r="G53" s="388" t="str">
        <x:f t="shared" si="76"/>
        <x:v/>
      </x:c>
      <x:c r="H53" s="213"/>
      <x:c r="I53" s="156" t="str">
        <x:f>IF(H53="","",VLOOKUP($H53,구분표!$O$3:$P$168,2,FALSE))</x:f>
        <x:v/>
      </x:c>
      <x:c r="J53" s="215"/>
      <x:c r="K53" s="459" t="str">
        <x:f t="shared" si="77"/>
        <x:v/>
      </x:c>
      <x:c r="L53" s="459" t="str">
        <x:f t="shared" si="78"/>
        <x:v/>
      </x:c>
      <x:c r="M53" s="461" t="str">
        <x:f t="shared" si="57"/>
        <x:v/>
      </x:c>
      <x:c r="N53" s="460"/>
      <x:c r="O53" s="461">
        <x:f t="shared" si="58"/>
        <x:v>0</x:v>
      </x:c>
      <x:c r="P53" s="462"/>
      <x:c r="Q53" s="463">
        <x:f t="shared" si="59"/>
        <x:v>0</x:v>
      </x:c>
      <x:c r="R53" s="162" t="str">
        <x:f t="shared" si="60"/>
        <x:v>X</x:v>
      </x:c>
      <x:c r="S53" s="216"/>
      <x:c r="T53" s="327"/>
      <x:c r="U53" s="217"/>
      <x:c r="V53" s="203"/>
      <x:c r="W53" s="217"/>
      <x:c r="X53" s="217"/>
      <x:c r="Y53" s="162" t="str">
        <x:f t="shared" si="61"/>
        <x:v/>
      </x:c>
      <x:c r="Z53" s="45"/>
      <x:c r="AA53" s="471" t="str">
        <x:f t="shared" si="62"/>
        <x:v/>
      </x:c>
      <x:c r="AB53" s="471" t="str">
        <x:f t="shared" si="63"/>
        <x:v/>
      </x:c>
      <x:c r="AC53" s="471" t="str">
        <x:f t="shared" si="64"/>
        <x:v/>
      </x:c>
      <x:c r="AD53" s="471" t="str">
        <x:f t="shared" si="65"/>
        <x:v/>
      </x:c>
      <x:c r="AE53" s="46"/>
      <x:c r="AF53" s="471" t="str">
        <x:f t="shared" si="66"/>
        <x:v/>
      </x:c>
      <x:c r="AG53" s="471" t="str">
        <x:f t="shared" si="67"/>
        <x:v/>
      </x:c>
      <x:c r="AH53" s="471" t="str">
        <x:f t="shared" si="68"/>
        <x:v/>
      </x:c>
      <x:c r="AI53" s="471" t="str">
        <x:f t="shared" si="69"/>
        <x:v/>
      </x:c>
      <x:c r="AJ53" s="87"/>
      <x:c r="AK53" s="374" t="str">
        <x:f>IF($AQ53="","",IF(OR($AL53="",$AL53="도비"),"",CONCATENATE($AQ53,"-",COUNTIF($AQ$8:$AQ53,$AQ53))))</x:f>
        <x:v/>
      </x:c>
      <x:c r="AL53" s="374" t="str">
        <x:f t="shared" si="70"/>
        <x:v/>
      </x:c>
      <x:c r="AM53" s="87"/>
      <x:c r="AN53" s="375" t="str">
        <x:f>IF($AQ53="","",IF(OR($AO53="",$AO53="국비",$AO53="자체"),"",CONCATENATE($AQ53,"-",$AO53,"-",COUNTIF($AQ$8:$AQ53,$AQ53))))</x:f>
        <x:v/>
      </x:c>
      <x:c r="AO53" s="375" t="str">
        <x:f t="shared" si="71"/>
        <x:v/>
      </x:c>
      <x:c r="AP53" s="87"/>
      <x:c r="AQ53" s="374" t="str">
        <x:f t="array" ref="AQ53:AQ53">IF(OR($D53="",$C53="직접입력",$B53="직접입력"),"",INDEX(구분표!$I$2:$I$337,MATCH(1,(구분표!$G$2:$G$337='3. 일입'!$B53)*(구분표!$E$2:$E$337='3. 일입'!$C53)*(구분표!$F$2:$F$337='3. 일입'!$D53),0)))</x:f>
        <x:v/>
      </x:c>
      <x:c r="AR53" s="87"/>
      <x:c r="AS53" s="472" t="str">
        <x:f>IF($AK53="","",SUMIFS('3. 일출(의존)'!$AB$7:$AB$1989,'3. 일출(의존)'!$AN$7:$AN$1989,$AK53))</x:f>
        <x:v/>
      </x:c>
      <x:c r="AT53" s="377" t="str">
        <x:f>IF($AK53="","",COUNTIF('3. 일출(의존)'!$AN$7:$AN$1989,$AK53))</x:f>
        <x:v/>
      </x:c>
      <x:c r="AU53" s="374" t="str">
        <x:f t="shared" si="72"/>
        <x:v/>
      </x:c>
      <x:c r="AV53" s="472" t="str">
        <x:f>IF($AN53="","",IF($AO53="지역개발기금",SUMIFS('3. 일출(의존)'!$AE$8:$AE$2000,'3. 일출(의존)'!$AS$8:$AS$2000,$AN53)+SUMIFS('3. 일출(자체)'!$AE$8:$AE$2000,'3. 일출(자체)'!$AM$8:$AM$2000,$AN53),IF($AO53="지방채",SUMIFS('3. 일출(의존)'!$AD$8:$AD$2000,'3. 일출(의존)'!$AS$8:$AS$2000,$AN53)+SUMIFS('3. 일출(자체)'!$AD$8:$AD$2000,'3. 일출(자체)'!$AM$8:$AM$2000,$AN53),0)))</x:f>
        <x:v/>
      </x:c>
      <x:c r="AW53" s="377" t="str">
        <x:f>IF($AN53="","",COUNTIF('3. 일출(의존)'!$AS$8:$AS$2000,$AN53)+COUNTIF('3. 일출(자체)'!$AM$8:$AM$2000,$AN53))</x:f>
        <x:v/>
      </x:c>
      <x:c r="AX53" s="374" t="str">
        <x:f t="shared" si="73"/>
        <x:v/>
      </x:c>
      <x:c r="AY53" s="91"/>
      <x:c r="AZ53" s="472" t="str">
        <x:f>IF($AK53="","",SUMIFS('3. 일출(의존)'!$AH$8:$AH$1989,'3. 일출(의존)'!$AN$8:$AN$1989,$AK53))</x:f>
        <x:v/>
      </x:c>
      <x:c r="BA53" s="377" t="str">
        <x:f>IF($AK53="","",COUNTIF('3. 일출(의존)'!$AN$7:$AN$1989,$AK53))</x:f>
        <x:v/>
      </x:c>
      <x:c r="BB53" s="374" t="str">
        <x:f t="shared" si="74"/>
        <x:v/>
      </x:c>
      <x:c r="BC53" s="472" t="str">
        <x:f>IF($AN53="","",IF($AO53="지역개발기금",SUMIFS('3. 일출(의존)'!$AK$8:$AK$2000,'3. 일출(의존)'!$AS$8:$AS$2000,$AN53)+SUMIFS('3. 일출(자체)'!$AJ$8:$AJ$2000,'3. 일출(자체)'!$AM$8:$AM$2000,$AN53),IF($AO53="지방채",SUMIFS('3. 일출(의존)'!$AJ$8:$AJ$2000,'3. 일출(의존)'!$AS$8:$AS$2000,$AN53)+SUMIFS('3. 일출(자체)'!$AI$8:$AI$2000,'3. 일출(자체)'!$AM$8:$AM$2000,$AN53),0)))</x:f>
        <x:v/>
      </x:c>
      <x:c r="BD53" s="377" t="str">
        <x:f>IF($AN53="","",COUNTIF('3. 일출(의존)'!$AS$8:$AS$2000,$AN53)+COUNTIF('3. 일출(자체)'!$AM$8:$AM$2000,$AN53))</x:f>
        <x:v/>
      </x:c>
      <x:c r="BE53" s="374" t="str">
        <x:f t="shared" si="75"/>
        <x:v/>
      </x:c>
    </x:row>
    <x:row r="54" spans="1:57" s="20" customFormat="1" ht="80.099999999999994" customHeight="1">
      <x:c r="A54" s="155" t="str">
        <x:f>IF(D54="","",COUNTA($C$8:C54)-COUNTBLANK($C$8:C54)+3)</x:f>
        <x:v/>
      </x:c>
      <x:c r="B54" s="156" t="str">
        <x: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x:f>
        <x:v/>
      </x:c>
      <x:c r="C54" s="156" t="str">
        <x:f>IF(D54="","",IF(OR(D54="교육지원과",D54="총무과",D54="인사과"),"직접입력",VLOOKUP(D54,구분표!$A$3:$C$258,3,)))</x:f>
        <x:v/>
      </x:c>
      <x:c r="D54" s="219"/>
      <x:c r="E54" s="213"/>
      <x:c r="F54" s="388" t="str">
        <x:f t="shared" si="76"/>
        <x:v/>
      </x:c>
      <x:c r="G54" s="388" t="str">
        <x:f t="shared" si="76"/>
        <x:v/>
      </x:c>
      <x:c r="H54" s="213"/>
      <x:c r="I54" s="156" t="str">
        <x:f>IF(H54="","",VLOOKUP($H54,구분표!$O$3:$P$168,2,FALSE))</x:f>
        <x:v/>
      </x:c>
      <x:c r="J54" s="215"/>
      <x:c r="K54" s="459" t="str">
        <x:f t="shared" si="77"/>
        <x:v/>
      </x:c>
      <x:c r="L54" s="459" t="str">
        <x:f t="shared" si="78"/>
        <x:v/>
      </x:c>
      <x:c r="M54" s="461" t="str">
        <x:f t="shared" si="57"/>
        <x:v/>
      </x:c>
      <x:c r="N54" s="460"/>
      <x:c r="O54" s="461">
        <x:f t="shared" si="58"/>
        <x:v>0</x:v>
      </x:c>
      <x:c r="P54" s="462"/>
      <x:c r="Q54" s="463">
        <x:f t="shared" si="59"/>
        <x:v>0</x:v>
      </x:c>
      <x:c r="R54" s="162" t="str">
        <x:f t="shared" si="60"/>
        <x:v>X</x:v>
      </x:c>
      <x:c r="S54" s="216"/>
      <x:c r="T54" s="327"/>
      <x:c r="U54" s="217"/>
      <x:c r="V54" s="203"/>
      <x:c r="W54" s="217"/>
      <x:c r="X54" s="217"/>
      <x:c r="Y54" s="162" t="str">
        <x:f t="shared" si="61"/>
        <x:v/>
      </x:c>
      <x:c r="Z54" s="45"/>
      <x:c r="AA54" s="471" t="str">
        <x:f t="shared" si="62"/>
        <x:v/>
      </x:c>
      <x:c r="AB54" s="471" t="str">
        <x:f t="shared" si="63"/>
        <x:v/>
      </x:c>
      <x:c r="AC54" s="471" t="str">
        <x:f t="shared" si="64"/>
        <x:v/>
      </x:c>
      <x:c r="AD54" s="471" t="str">
        <x:f t="shared" si="65"/>
        <x:v/>
      </x:c>
      <x:c r="AE54" s="46"/>
      <x:c r="AF54" s="471" t="str">
        <x:f t="shared" si="66"/>
        <x:v/>
      </x:c>
      <x:c r="AG54" s="471" t="str">
        <x:f t="shared" si="67"/>
        <x:v/>
      </x:c>
      <x:c r="AH54" s="471" t="str">
        <x:f t="shared" si="68"/>
        <x:v/>
      </x:c>
      <x:c r="AI54" s="471" t="str">
        <x:f t="shared" si="69"/>
        <x:v/>
      </x:c>
      <x:c r="AJ54" s="87"/>
      <x:c r="AK54" s="374" t="str">
        <x:f>IF($AQ54="","",IF(OR($AL54="",$AL54="도비"),"",CONCATENATE($AQ54,"-",COUNTIF($AQ$8:$AQ54,$AQ54))))</x:f>
        <x:v/>
      </x:c>
      <x:c r="AL54" s="374" t="str">
        <x:f t="shared" si="70"/>
        <x:v/>
      </x:c>
      <x:c r="AM54" s="87"/>
      <x:c r="AN54" s="375" t="str">
        <x:f>IF($AQ54="","",IF(OR($AO54="",$AO54="국비",$AO54="자체"),"",CONCATENATE($AQ54,"-",$AO54,"-",COUNTIF($AQ$8:$AQ54,$AQ54))))</x:f>
        <x:v/>
      </x:c>
      <x:c r="AO54" s="375" t="str">
        <x:f t="shared" si="71"/>
        <x:v/>
      </x:c>
      <x:c r="AP54" s="87"/>
      <x:c r="AQ54" s="374" t="str">
        <x:f t="array" ref="AQ54:AQ54">IF(OR($D54="",$C54="직접입력",$B54="직접입력"),"",INDEX(구분표!$I$2:$I$337,MATCH(1,(구분표!$G$2:$G$337='3. 일입'!$B54)*(구분표!$E$2:$E$337='3. 일입'!$C54)*(구분표!$F$2:$F$337='3. 일입'!$D54),0)))</x:f>
        <x:v/>
      </x:c>
      <x:c r="AR54" s="87"/>
      <x:c r="AS54" s="472" t="str">
        <x:f>IF($AK54="","",SUMIFS('3. 일출(의존)'!$AB$7:$AB$1989,'3. 일출(의존)'!$AN$7:$AN$1989,$AK54))</x:f>
        <x:v/>
      </x:c>
      <x:c r="AT54" s="377" t="str">
        <x:f>IF($AK54="","",COUNTIF('3. 일출(의존)'!$AN$7:$AN$1989,$AK54))</x:f>
        <x:v/>
      </x:c>
      <x:c r="AU54" s="374" t="str">
        <x:f t="shared" si="72"/>
        <x:v/>
      </x:c>
      <x:c r="AV54" s="472" t="str">
        <x:f>IF($AN54="","",IF($AO54="지역개발기금",SUMIFS('3. 일출(의존)'!$AE$8:$AE$2000,'3. 일출(의존)'!$AS$8:$AS$2000,$AN54)+SUMIFS('3. 일출(자체)'!$AE$8:$AE$2000,'3. 일출(자체)'!$AM$8:$AM$2000,$AN54),IF($AO54="지방채",SUMIFS('3. 일출(의존)'!$AD$8:$AD$2000,'3. 일출(의존)'!$AS$8:$AS$2000,$AN54)+SUMIFS('3. 일출(자체)'!$AD$8:$AD$2000,'3. 일출(자체)'!$AM$8:$AM$2000,$AN54),0)))</x:f>
        <x:v/>
      </x:c>
      <x:c r="AW54" s="377" t="str">
        <x:f>IF($AN54="","",COUNTIF('3. 일출(의존)'!$AS$8:$AS$2000,$AN54)+COUNTIF('3. 일출(자체)'!$AM$8:$AM$2000,$AN54))</x:f>
        <x:v/>
      </x:c>
      <x:c r="AX54" s="374" t="str">
        <x:f t="shared" si="73"/>
        <x:v/>
      </x:c>
      <x:c r="AY54" s="91"/>
      <x:c r="AZ54" s="472" t="str">
        <x:f>IF($AK54="","",SUMIFS('3. 일출(의존)'!$AH$8:$AH$1989,'3. 일출(의존)'!$AN$8:$AN$1989,$AK54))</x:f>
        <x:v/>
      </x:c>
      <x:c r="BA54" s="377" t="str">
        <x:f>IF($AK54="","",COUNTIF('3. 일출(의존)'!$AN$7:$AN$1989,$AK54))</x:f>
        <x:v/>
      </x:c>
      <x:c r="BB54" s="374" t="str">
        <x:f t="shared" si="74"/>
        <x:v/>
      </x:c>
      <x:c r="BC54" s="472" t="str">
        <x:f>IF($AN54="","",IF($AO54="지역개발기금",SUMIFS('3. 일출(의존)'!$AK$8:$AK$2000,'3. 일출(의존)'!$AS$8:$AS$2000,$AN54)+SUMIFS('3. 일출(자체)'!$AJ$8:$AJ$2000,'3. 일출(자체)'!$AM$8:$AM$2000,$AN54),IF($AO54="지방채",SUMIFS('3. 일출(의존)'!$AJ$8:$AJ$2000,'3. 일출(의존)'!$AS$8:$AS$2000,$AN54)+SUMIFS('3. 일출(자체)'!$AI$8:$AI$2000,'3. 일출(자체)'!$AM$8:$AM$2000,$AN54),0)))</x:f>
        <x:v/>
      </x:c>
      <x:c r="BD54" s="377" t="str">
        <x:f>IF($AN54="","",COUNTIF('3. 일출(의존)'!$AS$8:$AS$2000,$AN54)+COUNTIF('3. 일출(자체)'!$AM$8:$AM$2000,$AN54))</x:f>
        <x:v/>
      </x:c>
      <x:c r="BE54" s="374" t="str">
        <x:f t="shared" si="75"/>
        <x:v/>
      </x:c>
    </x:row>
    <x:row r="55" spans="1:57" s="20" customFormat="1" ht="80.099999999999994" customHeight="1">
      <x:c r="A55" s="155" t="str">
        <x:f>IF(D55="","",COUNTA($C$8:C55)-COUNTBLANK($C$8:C55)+3)</x:f>
        <x:v/>
      </x:c>
      <x:c r="B55" s="156" t="str">
        <x:f>IF(D55="","",IF(OR(C55="직접입력",D55="북부지원"),"직접입력",IF(OR(AND(D55="인사과",C55="의회사무처"),AND(D55="총무과",C55="의회사무처")),"의회운영위원회",IF(OR(C55="직접입력",D55="북부지원"),"직접입력",IF(OR(AND(D55="인사과",C55="자치행정국"),AND(D55="총무과",C55="자치행정국")),"안전행정위원회",VLOOKUP(D55,구분표!$A$3:$C$258,2,))))))</x:f>
        <x:v/>
      </x:c>
      <x:c r="C55" s="156" t="str">
        <x:f>IF(D55="","",IF(OR(D55="교육지원과",D55="총무과",D55="인사과"),"직접입력",VLOOKUP(D55,구분표!$A$3:$C$258,3,)))</x:f>
        <x:v/>
      </x:c>
      <x:c r="D55" s="219"/>
      <x:c r="E55" s="213"/>
      <x:c r="F55" s="388" t="str">
        <x:f t="shared" si="76"/>
        <x:v/>
      </x:c>
      <x:c r="G55" s="388" t="str">
        <x:f t="shared" si="76"/>
        <x:v/>
      </x:c>
      <x:c r="H55" s="213"/>
      <x:c r="I55" s="156" t="str">
        <x:f>IF(H55="","",VLOOKUP($H55,구분표!$O$3:$P$168,2,FALSE))</x:f>
        <x:v/>
      </x:c>
      <x:c r="J55" s="215"/>
      <x:c r="K55" s="459" t="str">
        <x:f t="shared" si="77"/>
        <x:v/>
      </x:c>
      <x:c r="L55" s="459" t="str">
        <x:f t="shared" si="78"/>
        <x:v/>
      </x:c>
      <x:c r="M55" s="461" t="str">
        <x:f t="shared" si="57"/>
        <x:v/>
      </x:c>
      <x:c r="N55" s="460"/>
      <x:c r="O55" s="461">
        <x:f t="shared" si="58"/>
        <x:v>0</x:v>
      </x:c>
      <x:c r="P55" s="462"/>
      <x:c r="Q55" s="463">
        <x:f t="shared" si="59"/>
        <x:v>0</x:v>
      </x:c>
      <x:c r="R55" s="162" t="str">
        <x:f t="shared" si="60"/>
        <x:v>X</x:v>
      </x:c>
      <x:c r="S55" s="216"/>
      <x:c r="T55" s="327"/>
      <x:c r="U55" s="217"/>
      <x:c r="V55" s="203"/>
      <x:c r="W55" s="217"/>
      <x:c r="X55" s="217"/>
      <x:c r="Y55" s="162" t="str">
        <x:f t="shared" si="61"/>
        <x:v/>
      </x:c>
      <x:c r="Z55" s="45"/>
      <x:c r="AA55" s="471" t="str">
        <x:f t="shared" si="62"/>
        <x:v/>
      </x:c>
      <x:c r="AB55" s="471" t="str">
        <x:f t="shared" si="63"/>
        <x:v/>
      </x:c>
      <x:c r="AC55" s="471" t="str">
        <x:f t="shared" si="64"/>
        <x:v/>
      </x:c>
      <x:c r="AD55" s="471" t="str">
        <x:f t="shared" si="65"/>
        <x:v/>
      </x:c>
      <x:c r="AE55" s="46"/>
      <x:c r="AF55" s="471" t="str">
        <x:f t="shared" si="66"/>
        <x:v/>
      </x:c>
      <x:c r="AG55" s="471" t="str">
        <x:f t="shared" si="67"/>
        <x:v/>
      </x:c>
      <x:c r="AH55" s="471" t="str">
        <x:f t="shared" si="68"/>
        <x:v/>
      </x:c>
      <x:c r="AI55" s="471" t="str">
        <x:f t="shared" si="69"/>
        <x:v/>
      </x:c>
      <x:c r="AJ55" s="87"/>
      <x:c r="AK55" s="374" t="str">
        <x:f>IF($AQ55="","",IF(OR($AL55="",$AL55="도비"),"",CONCATENATE($AQ55,"-",COUNTIF($AQ$8:$AQ55,$AQ55))))</x:f>
        <x:v/>
      </x:c>
      <x:c r="AL55" s="374" t="str">
        <x:f t="shared" si="70"/>
        <x:v/>
      </x:c>
      <x:c r="AM55" s="87"/>
      <x:c r="AN55" s="375" t="str">
        <x:f>IF($AQ55="","",IF(OR($AO55="",$AO55="국비",$AO55="자체"),"",CONCATENATE($AQ55,"-",$AO55,"-",COUNTIF($AQ$8:$AQ55,$AQ55))))</x:f>
        <x:v/>
      </x:c>
      <x:c r="AO55" s="375" t="str">
        <x:f t="shared" si="71"/>
        <x:v/>
      </x:c>
      <x:c r="AP55" s="87"/>
      <x:c r="AQ55" s="374" t="str">
        <x:f t="array" ref="AQ55:AQ55">IF(OR($D55="",$C55="직접입력",$B55="직접입력"),"",INDEX(구분표!$I$2:$I$337,MATCH(1,(구분표!$G$2:$G$337='3. 일입'!$B55)*(구분표!$E$2:$E$337='3. 일입'!$C55)*(구분표!$F$2:$F$337='3. 일입'!$D55),0)))</x:f>
        <x:v/>
      </x:c>
      <x:c r="AR55" s="87"/>
      <x:c r="AS55" s="472" t="str">
        <x:f>IF($AK55="","",SUMIFS('3. 일출(의존)'!$AB$7:$AB$1989,'3. 일출(의존)'!$AN$7:$AN$1989,$AK55))</x:f>
        <x:v/>
      </x:c>
      <x:c r="AT55" s="377" t="str">
        <x:f>IF($AK55="","",COUNTIF('3. 일출(의존)'!$AN$7:$AN$1989,$AK55))</x:f>
        <x:v/>
      </x:c>
      <x:c r="AU55" s="374" t="str">
        <x:f t="shared" si="72"/>
        <x:v/>
      </x:c>
      <x:c r="AV55" s="472" t="str">
        <x:f>IF($AN55="","",IF($AO55="지역개발기금",SUMIFS('3. 일출(의존)'!$AE$8:$AE$2000,'3. 일출(의존)'!$AS$8:$AS$2000,$AN55)+SUMIFS('3. 일출(자체)'!$AE$8:$AE$2000,'3. 일출(자체)'!$AM$8:$AM$2000,$AN55),IF($AO55="지방채",SUMIFS('3. 일출(의존)'!$AD$8:$AD$2000,'3. 일출(의존)'!$AS$8:$AS$2000,$AN55)+SUMIFS('3. 일출(자체)'!$AD$8:$AD$2000,'3. 일출(자체)'!$AM$8:$AM$2000,$AN55),0)))</x:f>
        <x:v/>
      </x:c>
      <x:c r="AW55" s="377" t="str">
        <x:f>IF($AN55="","",COUNTIF('3. 일출(의존)'!$AS$8:$AS$2000,$AN55)+COUNTIF('3. 일출(자체)'!$AM$8:$AM$2000,$AN55))</x:f>
        <x:v/>
      </x:c>
      <x:c r="AX55" s="374" t="str">
        <x:f t="shared" si="73"/>
        <x:v/>
      </x:c>
      <x:c r="AY55" s="91"/>
      <x:c r="AZ55" s="472" t="str">
        <x:f>IF($AK55="","",SUMIFS('3. 일출(의존)'!$AH$8:$AH$1989,'3. 일출(의존)'!$AN$8:$AN$1989,$AK55))</x:f>
        <x:v/>
      </x:c>
      <x:c r="BA55" s="377" t="str">
        <x:f>IF($AK55="","",COUNTIF('3. 일출(의존)'!$AN$7:$AN$1989,$AK55))</x:f>
        <x:v/>
      </x:c>
      <x:c r="BB55" s="374" t="str">
        <x:f t="shared" si="74"/>
        <x:v/>
      </x:c>
      <x:c r="BC55" s="472" t="str">
        <x:f>IF($AN55="","",IF($AO55="지역개발기금",SUMIFS('3. 일출(의존)'!$AK$8:$AK$2000,'3. 일출(의존)'!$AS$8:$AS$2000,$AN55)+SUMIFS('3. 일출(자체)'!$AJ$8:$AJ$2000,'3. 일출(자체)'!$AM$8:$AM$2000,$AN55),IF($AO55="지방채",SUMIFS('3. 일출(의존)'!$AJ$8:$AJ$2000,'3. 일출(의존)'!$AS$8:$AS$2000,$AN55)+SUMIFS('3. 일출(자체)'!$AI$8:$AI$2000,'3. 일출(자체)'!$AM$8:$AM$2000,$AN55),0)))</x:f>
        <x:v/>
      </x:c>
      <x:c r="BD55" s="377" t="str">
        <x:f>IF($AN55="","",COUNTIF('3. 일출(의존)'!$AS$8:$AS$2000,$AN55)+COUNTIF('3. 일출(자체)'!$AM$8:$AM$2000,$AN55))</x:f>
        <x:v/>
      </x:c>
      <x:c r="BE55" s="374" t="str">
        <x:f t="shared" si="75"/>
        <x:v/>
      </x:c>
    </x:row>
    <x:row r="56" spans="1:57" s="20" customFormat="1" ht="80.099999999999994" customHeight="1">
      <x:c r="A56" s="155" t="str">
        <x:f>IF(D56="","",COUNTA($C$8:C56)-COUNTBLANK($C$8:C56)+3)</x:f>
        <x:v/>
      </x:c>
      <x:c r="B56" s="156" t="str">
        <x: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x:f>
        <x:v/>
      </x:c>
      <x:c r="C56" s="156" t="str">
        <x:f>IF(D56="","",IF(OR(D56="교육지원과",D56="총무과",D56="인사과"),"직접입력",VLOOKUP(D56,구분표!$A$3:$C$258,3,)))</x:f>
        <x:v/>
      </x:c>
      <x:c r="D56" s="219"/>
      <x:c r="E56" s="213"/>
      <x:c r="F56" s="388" t="str">
        <x:f t="shared" si="76"/>
        <x:v/>
      </x:c>
      <x:c r="G56" s="388" t="str">
        <x:f t="shared" si="76"/>
        <x:v/>
      </x:c>
      <x:c r="H56" s="213"/>
      <x:c r="I56" s="156" t="str">
        <x:f>IF(H56="","",VLOOKUP($H56,구분표!$O$3:$P$168,2,FALSE))</x:f>
        <x:v/>
      </x:c>
      <x:c r="J56" s="215"/>
      <x:c r="K56" s="459" t="str">
        <x:f t="shared" si="77"/>
        <x:v/>
      </x:c>
      <x:c r="L56" s="459" t="str">
        <x:f t="shared" si="78"/>
        <x:v/>
      </x:c>
      <x:c r="M56" s="461" t="str">
        <x:f t="shared" si="57"/>
        <x:v/>
      </x:c>
      <x:c r="N56" s="460"/>
      <x:c r="O56" s="461">
        <x:f t="shared" si="58"/>
        <x:v>0</x:v>
      </x:c>
      <x:c r="P56" s="462"/>
      <x:c r="Q56" s="463">
        <x:f t="shared" si="59"/>
        <x:v>0</x:v>
      </x:c>
      <x:c r="R56" s="162" t="str">
        <x:f t="shared" si="60"/>
        <x:v>X</x:v>
      </x:c>
      <x:c r="S56" s="216"/>
      <x:c r="T56" s="327"/>
      <x:c r="U56" s="217"/>
      <x:c r="V56" s="203"/>
      <x:c r="W56" s="217"/>
      <x:c r="X56" s="217"/>
      <x:c r="Y56" s="162" t="str">
        <x:f t="shared" si="61"/>
        <x:v/>
      </x:c>
      <x:c r="Z56" s="45"/>
      <x:c r="AA56" s="471" t="str">
        <x:f t="shared" si="62"/>
        <x:v/>
      </x:c>
      <x:c r="AB56" s="471" t="str">
        <x:f t="shared" si="63"/>
        <x:v/>
      </x:c>
      <x:c r="AC56" s="471" t="str">
        <x:f t="shared" si="64"/>
        <x:v/>
      </x:c>
      <x:c r="AD56" s="471" t="str">
        <x:f t="shared" si="65"/>
        <x:v/>
      </x:c>
      <x:c r="AE56" s="46"/>
      <x:c r="AF56" s="471" t="str">
        <x:f t="shared" si="66"/>
        <x:v/>
      </x:c>
      <x:c r="AG56" s="471" t="str">
        <x:f t="shared" si="67"/>
        <x:v/>
      </x:c>
      <x:c r="AH56" s="471" t="str">
        <x:f t="shared" si="68"/>
        <x:v/>
      </x:c>
      <x:c r="AI56" s="471" t="str">
        <x:f t="shared" si="69"/>
        <x:v/>
      </x:c>
      <x:c r="AJ56" s="87"/>
      <x:c r="AK56" s="374" t="str">
        <x:f>IF($AQ56="","",IF(OR($AL56="",$AL56="도비"),"",CONCATENATE($AQ56,"-",COUNTIF($AQ$8:$AQ56,$AQ56))))</x:f>
        <x:v/>
      </x:c>
      <x:c r="AL56" s="374" t="str">
        <x:f t="shared" si="70"/>
        <x:v/>
      </x:c>
      <x:c r="AM56" s="87"/>
      <x:c r="AN56" s="375" t="str">
        <x:f>IF($AQ56="","",IF(OR($AO56="",$AO56="국비",$AO56="자체"),"",CONCATENATE($AQ56,"-",$AO56,"-",COUNTIF($AQ$8:$AQ56,$AQ56))))</x:f>
        <x:v/>
      </x:c>
      <x:c r="AO56" s="375" t="str">
        <x:f t="shared" si="71"/>
        <x:v/>
      </x:c>
      <x:c r="AP56" s="87"/>
      <x:c r="AQ56" s="374" t="str">
        <x:f t="array" ref="AQ56:AQ56">IF(OR($D56="",$C56="직접입력",$B56="직접입력"),"",INDEX(구분표!$I$2:$I$337,MATCH(1,(구분표!$G$2:$G$337='3. 일입'!$B56)*(구분표!$E$2:$E$337='3. 일입'!$C56)*(구분표!$F$2:$F$337='3. 일입'!$D56),0)))</x:f>
        <x:v/>
      </x:c>
      <x:c r="AR56" s="87"/>
      <x:c r="AS56" s="472" t="str">
        <x:f>IF($AK56="","",SUMIFS('3. 일출(의존)'!$AB$7:$AB$1989,'3. 일출(의존)'!$AN$7:$AN$1989,$AK56))</x:f>
        <x:v/>
      </x:c>
      <x:c r="AT56" s="377" t="str">
        <x:f>IF($AK56="","",COUNTIF('3. 일출(의존)'!$AN$7:$AN$1989,$AK56))</x:f>
        <x:v/>
      </x:c>
      <x:c r="AU56" s="374" t="str">
        <x:f t="shared" si="72"/>
        <x:v/>
      </x:c>
      <x:c r="AV56" s="472" t="str">
        <x:f>IF($AN56="","",IF($AO56="지역개발기금",SUMIFS('3. 일출(의존)'!$AE$8:$AE$2000,'3. 일출(의존)'!$AS$8:$AS$2000,$AN56)+SUMIFS('3. 일출(자체)'!$AE$8:$AE$2000,'3. 일출(자체)'!$AM$8:$AM$2000,$AN56),IF($AO56="지방채",SUMIFS('3. 일출(의존)'!$AD$8:$AD$2000,'3. 일출(의존)'!$AS$8:$AS$2000,$AN56)+SUMIFS('3. 일출(자체)'!$AD$8:$AD$2000,'3. 일출(자체)'!$AM$8:$AM$2000,$AN56),0)))</x:f>
        <x:v/>
      </x:c>
      <x:c r="AW56" s="377" t="str">
        <x:f>IF($AN56="","",COUNTIF('3. 일출(의존)'!$AS$8:$AS$2000,$AN56)+COUNTIF('3. 일출(자체)'!$AM$8:$AM$2000,$AN56))</x:f>
        <x:v/>
      </x:c>
      <x:c r="AX56" s="374" t="str">
        <x:f t="shared" si="73"/>
        <x:v/>
      </x:c>
      <x:c r="AY56" s="91"/>
      <x:c r="AZ56" s="472" t="str">
        <x:f>IF($AK56="","",SUMIFS('3. 일출(의존)'!$AH$8:$AH$1989,'3. 일출(의존)'!$AN$8:$AN$1989,$AK56))</x:f>
        <x:v/>
      </x:c>
      <x:c r="BA56" s="377" t="str">
        <x:f>IF($AK56="","",COUNTIF('3. 일출(의존)'!$AN$7:$AN$1989,$AK56))</x:f>
        <x:v/>
      </x:c>
      <x:c r="BB56" s="374" t="str">
        <x:f t="shared" si="74"/>
        <x:v/>
      </x:c>
      <x:c r="BC56" s="472" t="str">
        <x:f>IF($AN56="","",IF($AO56="지역개발기금",SUMIFS('3. 일출(의존)'!$AK$8:$AK$2000,'3. 일출(의존)'!$AS$8:$AS$2000,$AN56)+SUMIFS('3. 일출(자체)'!$AJ$8:$AJ$2000,'3. 일출(자체)'!$AM$8:$AM$2000,$AN56),IF($AO56="지방채",SUMIFS('3. 일출(의존)'!$AJ$8:$AJ$2000,'3. 일출(의존)'!$AS$8:$AS$2000,$AN56)+SUMIFS('3. 일출(자체)'!$AI$8:$AI$2000,'3. 일출(자체)'!$AM$8:$AM$2000,$AN56),0)))</x:f>
        <x:v/>
      </x:c>
      <x:c r="BD56" s="377" t="str">
        <x:f>IF($AN56="","",COUNTIF('3. 일출(의존)'!$AS$8:$AS$2000,$AN56)+COUNTIF('3. 일출(자체)'!$AM$8:$AM$2000,$AN56))</x:f>
        <x:v/>
      </x:c>
      <x:c r="BE56" s="374" t="str">
        <x:f t="shared" si="75"/>
        <x:v/>
      </x:c>
    </x:row>
    <x:row r="57" spans="1:57" s="20" customFormat="1" ht="80.099999999999994" customHeight="1">
      <x:c r="A57" s="155" t="str">
        <x:f>IF(D57="","",COUNTA($C$8:C57)-COUNTBLANK($C$8:C57)+3)</x:f>
        <x:v/>
      </x:c>
      <x:c r="B57" s="156" t="str">
        <x: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x:f>
        <x:v/>
      </x:c>
      <x:c r="C57" s="156" t="str">
        <x:f>IF(D57="","",IF(OR(D57="교육지원과",D57="총무과",D57="인사과"),"직접입력",VLOOKUP(D57,구분표!$A$3:$C$258,3,)))</x:f>
        <x:v/>
      </x:c>
      <x:c r="D57" s="219"/>
      <x:c r="E57" s="213"/>
      <x:c r="F57" s="388" t="str">
        <x:f t="shared" si="76"/>
        <x:v/>
      </x:c>
      <x:c r="G57" s="388" t="str">
        <x:f t="shared" si="76"/>
        <x:v/>
      </x:c>
      <x:c r="H57" s="213"/>
      <x:c r="I57" s="156" t="str">
        <x:f>IF(H57="","",VLOOKUP($H57,구분표!$O$3:$P$168,2,FALSE))</x:f>
        <x:v/>
      </x:c>
      <x:c r="J57" s="215"/>
      <x:c r="K57" s="459" t="str">
        <x:f t="shared" si="77"/>
        <x:v/>
      </x:c>
      <x:c r="L57" s="459" t="str">
        <x:f t="shared" si="78"/>
        <x:v/>
      </x:c>
      <x:c r="M57" s="461" t="str">
        <x:f t="shared" si="57"/>
        <x:v/>
      </x:c>
      <x:c r="N57" s="460"/>
      <x:c r="O57" s="461">
        <x:f t="shared" si="58"/>
        <x:v>0</x:v>
      </x:c>
      <x:c r="P57" s="462"/>
      <x:c r="Q57" s="463">
        <x:f t="shared" si="59"/>
        <x:v>0</x:v>
      </x:c>
      <x:c r="R57" s="162" t="str">
        <x:f t="shared" si="60"/>
        <x:v>X</x:v>
      </x:c>
      <x:c r="S57" s="216"/>
      <x:c r="T57" s="327"/>
      <x:c r="U57" s="217"/>
      <x:c r="V57" s="203"/>
      <x:c r="W57" s="217"/>
      <x:c r="X57" s="217"/>
      <x:c r="Y57" s="162" t="str">
        <x:f t="shared" si="61"/>
        <x:v/>
      </x:c>
      <x:c r="Z57" s="45"/>
      <x:c r="AA57" s="471" t="str">
        <x:f t="shared" si="62"/>
        <x:v/>
      </x:c>
      <x:c r="AB57" s="471" t="str">
        <x:f t="shared" si="63"/>
        <x:v/>
      </x:c>
      <x:c r="AC57" s="471" t="str">
        <x:f t="shared" si="64"/>
        <x:v/>
      </x:c>
      <x:c r="AD57" s="471" t="str">
        <x:f t="shared" si="65"/>
        <x:v/>
      </x:c>
      <x:c r="AE57" s="46"/>
      <x:c r="AF57" s="471" t="str">
        <x:f t="shared" si="66"/>
        <x:v/>
      </x:c>
      <x:c r="AG57" s="471" t="str">
        <x:f t="shared" si="67"/>
        <x:v/>
      </x:c>
      <x:c r="AH57" s="471" t="str">
        <x:f t="shared" si="68"/>
        <x:v/>
      </x:c>
      <x:c r="AI57" s="471" t="str">
        <x:f t="shared" si="69"/>
        <x:v/>
      </x:c>
      <x:c r="AJ57" s="87"/>
      <x:c r="AK57" s="374" t="str">
        <x:f>IF($AQ57="","",IF(OR($AL57="",$AL57="도비"),"",CONCATENATE($AQ57,"-",COUNTIF($AQ$8:$AQ57,$AQ57))))</x:f>
        <x:v/>
      </x:c>
      <x:c r="AL57" s="374" t="str">
        <x:f t="shared" si="70"/>
        <x:v/>
      </x:c>
      <x:c r="AM57" s="87"/>
      <x:c r="AN57" s="375" t="str">
        <x:f>IF($AQ57="","",IF(OR($AO57="",$AO57="국비",$AO57="자체"),"",CONCATENATE($AQ57,"-",$AO57,"-",COUNTIF($AQ$8:$AQ57,$AQ57))))</x:f>
        <x:v/>
      </x:c>
      <x:c r="AO57" s="375" t="str">
        <x:f t="shared" si="71"/>
        <x:v/>
      </x:c>
      <x:c r="AP57" s="87"/>
      <x:c r="AQ57" s="374" t="str">
        <x:f t="array" ref="AQ57:AQ57">IF(OR($D57="",$C57="직접입력",$B57="직접입력"),"",INDEX(구분표!$I$2:$I$337,MATCH(1,(구분표!$G$2:$G$337='3. 일입'!$B57)*(구분표!$E$2:$E$337='3. 일입'!$C57)*(구분표!$F$2:$F$337='3. 일입'!$D57),0)))</x:f>
        <x:v/>
      </x:c>
      <x:c r="AR57" s="87"/>
      <x:c r="AS57" s="472" t="str">
        <x:f>IF($AK57="","",SUMIFS('3. 일출(의존)'!$AB$7:$AB$1989,'3. 일출(의존)'!$AN$7:$AN$1989,$AK57))</x:f>
        <x:v/>
      </x:c>
      <x:c r="AT57" s="377" t="str">
        <x:f>IF($AK57="","",COUNTIF('3. 일출(의존)'!$AN$7:$AN$1989,$AK57))</x:f>
        <x:v/>
      </x:c>
      <x:c r="AU57" s="374" t="str">
        <x:f t="shared" si="72"/>
        <x:v/>
      </x:c>
      <x:c r="AV57" s="472" t="str">
        <x:f>IF($AN57="","",IF($AO57="지역개발기금",SUMIFS('3. 일출(의존)'!$AE$8:$AE$2000,'3. 일출(의존)'!$AS$8:$AS$2000,$AN57)+SUMIFS('3. 일출(자체)'!$AE$8:$AE$2000,'3. 일출(자체)'!$AM$8:$AM$2000,$AN57),IF($AO57="지방채",SUMIFS('3. 일출(의존)'!$AD$8:$AD$2000,'3. 일출(의존)'!$AS$8:$AS$2000,$AN57)+SUMIFS('3. 일출(자체)'!$AD$8:$AD$2000,'3. 일출(자체)'!$AM$8:$AM$2000,$AN57),0)))</x:f>
        <x:v/>
      </x:c>
      <x:c r="AW57" s="377" t="str">
        <x:f>IF($AN57="","",COUNTIF('3. 일출(의존)'!$AS$8:$AS$2000,$AN57)+COUNTIF('3. 일출(자체)'!$AM$8:$AM$2000,$AN57))</x:f>
        <x:v/>
      </x:c>
      <x:c r="AX57" s="374" t="str">
        <x:f t="shared" si="73"/>
        <x:v/>
      </x:c>
      <x:c r="AY57" s="91"/>
      <x:c r="AZ57" s="472" t="str">
        <x:f>IF($AK57="","",SUMIFS('3. 일출(의존)'!$AH$8:$AH$1989,'3. 일출(의존)'!$AN$8:$AN$1989,$AK57))</x:f>
        <x:v/>
      </x:c>
      <x:c r="BA57" s="377" t="str">
        <x:f>IF($AK57="","",COUNTIF('3. 일출(의존)'!$AN$7:$AN$1989,$AK57))</x:f>
        <x:v/>
      </x:c>
      <x:c r="BB57" s="374" t="str">
        <x:f t="shared" si="74"/>
        <x:v/>
      </x:c>
      <x:c r="BC57" s="472" t="str">
        <x:f>IF($AN57="","",IF($AO57="지역개발기금",SUMIFS('3. 일출(의존)'!$AK$8:$AK$2000,'3. 일출(의존)'!$AS$8:$AS$2000,$AN57)+SUMIFS('3. 일출(자체)'!$AJ$8:$AJ$2000,'3. 일출(자체)'!$AM$8:$AM$2000,$AN57),IF($AO57="지방채",SUMIFS('3. 일출(의존)'!$AJ$8:$AJ$2000,'3. 일출(의존)'!$AS$8:$AS$2000,$AN57)+SUMIFS('3. 일출(자체)'!$AI$8:$AI$2000,'3. 일출(자체)'!$AM$8:$AM$2000,$AN57),0)))</x:f>
        <x:v/>
      </x:c>
      <x:c r="BD57" s="377" t="str">
        <x:f>IF($AN57="","",COUNTIF('3. 일출(의존)'!$AS$8:$AS$2000,$AN57)+COUNTIF('3. 일출(자체)'!$AM$8:$AM$2000,$AN57))</x:f>
        <x:v/>
      </x:c>
      <x:c r="BE57" s="374" t="str">
        <x:f t="shared" si="75"/>
        <x:v/>
      </x:c>
    </x:row>
    <x:row r="58" spans="1:57" s="20" customFormat="1" ht="80.099999999999994" customHeight="1">
      <x:c r="A58" s="155" t="str">
        <x:f>IF(D58="","",COUNTA($C$8:C58)-COUNTBLANK($C$8:C58)+3)</x:f>
        <x:v/>
      </x:c>
      <x:c r="B58" s="156" t="str">
        <x: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x:f>
        <x:v/>
      </x:c>
      <x:c r="C58" s="156" t="str">
        <x:f>IF(D58="","",IF(OR(D58="교육지원과",D58="총무과",D58="인사과"),"직접입력",VLOOKUP(D58,구분표!$A$3:$C$258,3,)))</x:f>
        <x:v/>
      </x:c>
      <x:c r="D58" s="219"/>
      <x:c r="E58" s="213"/>
      <x:c r="F58" s="388" t="str">
        <x:f t="shared" si="76"/>
        <x:v/>
      </x:c>
      <x:c r="G58" s="388" t="str">
        <x:f t="shared" si="76"/>
        <x:v/>
      </x:c>
      <x:c r="H58" s="213"/>
      <x:c r="I58" s="156" t="str">
        <x:f>IF(H58="","",VLOOKUP($H58,구분표!$O$3:$P$168,2,FALSE))</x:f>
        <x:v/>
      </x:c>
      <x:c r="J58" s="215"/>
      <x:c r="K58" s="459" t="str">
        <x:f t="shared" si="77"/>
        <x:v/>
      </x:c>
      <x:c r="L58" s="459" t="str">
        <x:f t="shared" si="78"/>
        <x:v/>
      </x:c>
      <x:c r="M58" s="461" t="str">
        <x:f t="shared" si="57"/>
        <x:v/>
      </x:c>
      <x:c r="N58" s="460"/>
      <x:c r="O58" s="461">
        <x:f t="shared" si="58"/>
        <x:v>0</x:v>
      </x:c>
      <x:c r="P58" s="462"/>
      <x:c r="Q58" s="463">
        <x:f t="shared" si="59"/>
        <x:v>0</x:v>
      </x:c>
      <x:c r="R58" s="162" t="str">
        <x:f t="shared" si="60"/>
        <x:v>X</x:v>
      </x:c>
      <x:c r="S58" s="216"/>
      <x:c r="T58" s="327"/>
      <x:c r="U58" s="217"/>
      <x:c r="V58" s="203"/>
      <x:c r="W58" s="217"/>
      <x:c r="X58" s="217"/>
      <x:c r="Y58" s="162" t="str">
        <x:f t="shared" si="61"/>
        <x:v/>
      </x:c>
      <x:c r="Z58" s="45"/>
      <x:c r="AA58" s="471" t="str">
        <x:f t="shared" si="62"/>
        <x:v/>
      </x:c>
      <x:c r="AB58" s="471" t="str">
        <x:f t="shared" si="63"/>
        <x:v/>
      </x:c>
      <x:c r="AC58" s="471" t="str">
        <x:f t="shared" si="64"/>
        <x:v/>
      </x:c>
      <x:c r="AD58" s="471" t="str">
        <x:f t="shared" si="65"/>
        <x:v/>
      </x:c>
      <x:c r="AE58" s="46"/>
      <x:c r="AF58" s="471" t="str">
        <x:f t="shared" si="66"/>
        <x:v/>
      </x:c>
      <x:c r="AG58" s="471" t="str">
        <x:f t="shared" si="67"/>
        <x:v/>
      </x:c>
      <x:c r="AH58" s="471" t="str">
        <x:f t="shared" si="68"/>
        <x:v/>
      </x:c>
      <x:c r="AI58" s="471" t="str">
        <x:f t="shared" si="69"/>
        <x:v/>
      </x:c>
      <x:c r="AJ58" s="87"/>
      <x:c r="AK58" s="374" t="str">
        <x:f>IF($AQ58="","",IF(OR($AL58="",$AL58="도비"),"",CONCATENATE($AQ58,"-",COUNTIF($AQ$8:$AQ58,$AQ58))))</x:f>
        <x:v/>
      </x:c>
      <x:c r="AL58" s="374" t="str">
        <x:f t="shared" si="70"/>
        <x:v/>
      </x:c>
      <x:c r="AM58" s="87"/>
      <x:c r="AN58" s="375" t="str">
        <x:f>IF($AQ58="","",IF(OR($AO58="",$AO58="국비",$AO58="자체"),"",CONCATENATE($AQ58,"-",$AO58,"-",COUNTIF($AQ$8:$AQ58,$AQ58))))</x:f>
        <x:v/>
      </x:c>
      <x:c r="AO58" s="375" t="str">
        <x:f t="shared" si="71"/>
        <x:v/>
      </x:c>
      <x:c r="AP58" s="87"/>
      <x:c r="AQ58" s="374" t="str">
        <x:f t="array" ref="AQ58:AQ58">IF(OR($D58="",$C58="직접입력",$B58="직접입력"),"",INDEX(구분표!$I$2:$I$337,MATCH(1,(구분표!$G$2:$G$337='3. 일입'!$B58)*(구분표!$E$2:$E$337='3. 일입'!$C58)*(구분표!$F$2:$F$337='3. 일입'!$D58),0)))</x:f>
        <x:v/>
      </x:c>
      <x:c r="AR58" s="87"/>
      <x:c r="AS58" s="472" t="str">
        <x:f>IF($AK58="","",SUMIFS('3. 일출(의존)'!$AB$7:$AB$1989,'3. 일출(의존)'!$AN$7:$AN$1989,$AK58))</x:f>
        <x:v/>
      </x:c>
      <x:c r="AT58" s="377" t="str">
        <x:f>IF($AK58="","",COUNTIF('3. 일출(의존)'!$AN$7:$AN$1989,$AK58))</x:f>
        <x:v/>
      </x:c>
      <x:c r="AU58" s="374" t="str">
        <x:f t="shared" si="72"/>
        <x:v/>
      </x:c>
      <x:c r="AV58" s="472" t="str">
        <x:f>IF($AN58="","",IF($AO58="지역개발기금",SUMIFS('3. 일출(의존)'!$AE$8:$AE$2000,'3. 일출(의존)'!$AS$8:$AS$2000,$AN58)+SUMIFS('3. 일출(자체)'!$AE$8:$AE$2000,'3. 일출(자체)'!$AM$8:$AM$2000,$AN58),IF($AO58="지방채",SUMIFS('3. 일출(의존)'!$AD$8:$AD$2000,'3. 일출(의존)'!$AS$8:$AS$2000,$AN58)+SUMIFS('3. 일출(자체)'!$AD$8:$AD$2000,'3. 일출(자체)'!$AM$8:$AM$2000,$AN58),0)))</x:f>
        <x:v/>
      </x:c>
      <x:c r="AW58" s="377" t="str">
        <x:f>IF($AN58="","",COUNTIF('3. 일출(의존)'!$AS$8:$AS$2000,$AN58)+COUNTIF('3. 일출(자체)'!$AM$8:$AM$2000,$AN58))</x:f>
        <x:v/>
      </x:c>
      <x:c r="AX58" s="374" t="str">
        <x:f t="shared" si="73"/>
        <x:v/>
      </x:c>
      <x:c r="AY58" s="91"/>
      <x:c r="AZ58" s="472" t="str">
        <x:f>IF($AK58="","",SUMIFS('3. 일출(의존)'!$AH$8:$AH$1989,'3. 일출(의존)'!$AN$8:$AN$1989,$AK58))</x:f>
        <x:v/>
      </x:c>
      <x:c r="BA58" s="377" t="str">
        <x:f>IF($AK58="","",COUNTIF('3. 일출(의존)'!$AN$7:$AN$1989,$AK58))</x:f>
        <x:v/>
      </x:c>
      <x:c r="BB58" s="374" t="str">
        <x:f t="shared" si="74"/>
        <x:v/>
      </x:c>
      <x:c r="BC58" s="472" t="str">
        <x:f>IF($AN58="","",IF($AO58="지역개발기금",SUMIFS('3. 일출(의존)'!$AK$8:$AK$2000,'3. 일출(의존)'!$AS$8:$AS$2000,$AN58)+SUMIFS('3. 일출(자체)'!$AJ$8:$AJ$2000,'3. 일출(자체)'!$AM$8:$AM$2000,$AN58),IF($AO58="지방채",SUMIFS('3. 일출(의존)'!$AJ$8:$AJ$2000,'3. 일출(의존)'!$AS$8:$AS$2000,$AN58)+SUMIFS('3. 일출(자체)'!$AI$8:$AI$2000,'3. 일출(자체)'!$AM$8:$AM$2000,$AN58),0)))</x:f>
        <x:v/>
      </x:c>
      <x:c r="BD58" s="377" t="str">
        <x:f>IF($AN58="","",COUNTIF('3. 일출(의존)'!$AS$8:$AS$2000,$AN58)+COUNTIF('3. 일출(자체)'!$AM$8:$AM$2000,$AN58))</x:f>
        <x:v/>
      </x:c>
      <x:c r="BE58" s="374" t="str">
        <x:f t="shared" si="75"/>
        <x:v/>
      </x:c>
    </x:row>
    <x:row r="59" spans="1:57" ht="60" customHeight="1">
      <x:c r="A59" s="210"/>
      <x:c r="B59" s="888" t="s">
        <x:v>1526</x:v>
      </x:c>
      <x:c r="C59" s="888"/>
      <x:c r="D59" s="888"/>
      <x:c r="E59" s="888"/>
      <x:c r="F59" s="888"/>
      <x:c r="G59" s="888"/>
      <x:c r="H59" s="210"/>
      <x:c r="I59" s="79"/>
      <x:c r="J59" s="409" t="str">
        <x:f>SUBTOTAL(3,J60:J75)&amp;"건"</x:f>
        <x:v>0건</x:v>
      </x:c>
      <x:c r="K59" s="458">
        <x:f t="shared" ref="K59:L59" si="79">SUBTOTAL(9,K60:K75)</x:f>
        <x:v>0</x:v>
      </x:c>
      <x:c r="L59" s="458">
        <x:f t="shared" si="79"/>
        <x:v>0</x:v>
      </x:c>
      <x:c r="M59" s="458">
        <x:f t="shared" ref="M59:Q59" si="80">SUBTOTAL(9,M60:M75)</x:f>
        <x:v>0</x:v>
      </x:c>
      <x:c r="N59" s="458">
        <x:f t="shared" si="80"/>
        <x:v>0</x:v>
      </x:c>
      <x:c r="O59" s="458">
        <x:f t="shared" si="80"/>
        <x:v>0</x:v>
      </x:c>
      <x:c r="P59" s="458">
        <x:f t="shared" si="80"/>
        <x:v>0</x:v>
      </x:c>
      <x:c r="Q59" s="458">
        <x:f t="shared" si="80"/>
        <x:v>0</x:v>
      </x:c>
      <x:c r="R59" s="78"/>
      <x:c r="S59" s="78"/>
      <x:c r="T59" s="78"/>
      <x:c r="U59" s="78"/>
      <x:c r="V59" s="78"/>
      <x:c r="W59" s="78"/>
      <x:c r="X59" s="78"/>
      <x:c r="Y59" s="80"/>
      <x:c r="Z59" s="43"/>
      <x:c r="AA59" s="470">
        <x:f>SUBTOTAL(9,AA60:AA75)</x:f>
        <x:v>0</x:v>
      </x:c>
      <x:c r="AB59" s="470">
        <x:f t="shared" ref="AB59:AD59" si="81">SUBTOTAL(9,AB60:AB75)</x:f>
        <x:v>0</x:v>
      </x:c>
      <x:c r="AC59" s="470">
        <x:f t="shared" si="81"/>
        <x:v>0</x:v>
      </x:c>
      <x:c r="AD59" s="470">
        <x:f t="shared" si="81"/>
        <x:v>0</x:v>
      </x:c>
      <x:c r="AE59" s="166"/>
      <x:c r="AF59" s="470">
        <x:f>SUBTOTAL(9,AF60:AF75)</x:f>
        <x:v>0</x:v>
      </x:c>
      <x:c r="AG59" s="470">
        <x:f t="shared" ref="AG59:AI59" si="82">SUBTOTAL(9,AG60:AG75)</x:f>
        <x:v>0</x:v>
      </x:c>
      <x:c r="AH59" s="470">
        <x:f t="shared" si="82"/>
        <x:v>0</x:v>
      </x:c>
      <x:c r="AI59" s="470">
        <x:f t="shared" si="82"/>
        <x:v>0</x:v>
      </x:c>
      <x:c r="AJ59" s="53"/>
      <x:c r="AK59" s="80"/>
      <x:c r="AL59" s="80"/>
      <x:c r="AM59" s="53"/>
      <x:c r="AN59" s="80"/>
      <x:c r="AO59" s="80"/>
      <x:c r="AP59" s="53"/>
      <x:c r="AQ59" s="80"/>
      <x:c r="AR59" s="53"/>
      <x:c r="AS59" s="470">
        <x:f>SUBTOTAL(9,AS60:AS75)</x:f>
        <x:v>0</x:v>
      </x:c>
      <x:c r="AT59" s="470">
        <x:f>SUBTOTAL(9,AT60:AT75)</x:f>
        <x:v>0</x:v>
      </x:c>
      <x:c r="AU59" s="554" t="str">
        <x:f>IF(COUNTIF(AU60:AU75,"@@")&gt;0,"@@","OK")</x:f>
        <x:v>OK</x:v>
      </x:c>
      <x:c r="AV59" s="470">
        <x:f>SUBTOTAL(9,AV60:AV75)</x:f>
        <x:v>0</x:v>
      </x:c>
      <x:c r="AW59" s="470">
        <x:f>SUBTOTAL(9,AW60:AW75)</x:f>
        <x:v>0</x:v>
      </x:c>
      <x:c r="AX59" s="554" t="str">
        <x:f>IF(COUNTIF(AX60:AX75,"@@")&gt;0,"@@","OK")</x:f>
        <x:v>OK</x:v>
      </x:c>
      <x:c r="AY59" s="53"/>
      <x:c r="AZ59" s="470">
        <x:f>SUBTOTAL(9,AZ60:AZ75)</x:f>
        <x:v>0</x:v>
      </x:c>
      <x:c r="BA59" s="470">
        <x:f>SUBTOTAL(9,BA60:BA75)</x:f>
        <x:v>0</x:v>
      </x:c>
      <x:c r="BB59" s="554" t="str">
        <x:f>IF(COUNTIF(BB60:BB75,"@@")&gt;0,"@@","OK")</x:f>
        <x:v>OK</x:v>
      </x:c>
      <x:c r="BC59" s="470">
        <x:f>SUBTOTAL(9,BC60:BC75)</x:f>
        <x:v>0</x:v>
      </x:c>
      <x:c r="BD59" s="470">
        <x:f>SUBTOTAL(9,BD60:BD75)</x:f>
        <x:v>0</x:v>
      </x:c>
      <x:c r="BE59" s="554" t="str">
        <x:f>IF(COUNTIF(BE60:BE75,"@@")&gt;0,"@@","OK")</x:f>
        <x:v>OK</x:v>
      </x:c>
    </x:row>
    <x:row r="60" spans="1:57" s="20" customFormat="1" ht="80.099999999999994" customHeight="1">
      <x:c r="A60" s="155" t="str">
        <x:f>IF(D60="","",COUNTA($C$8:C60)-COUNTBLANK($C$8:C60)+4)</x:f>
        <x:v/>
      </x:c>
      <x:c r="B60" s="156" t="str">
        <x: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x:f>
        <x:v/>
      </x:c>
      <x:c r="C60" s="156" t="str">
        <x:f>IF(D60="","",IF(OR(D60="교육지원과",D60="총무과",D60="인사과"),"직접입력",VLOOKUP(D60,구분표!$A$3:$C$258,3,)))</x:f>
        <x:v/>
      </x:c>
      <x:c r="D60" s="219"/>
      <x:c r="E60" s="213"/>
      <x:c r="F60" s="388" t="str">
        <x:f>IF($E60="","",IF($E60="2추","직접입력","-"))</x:f>
        <x:v/>
      </x:c>
      <x:c r="G60" s="388" t="str">
        <x:f>IF($E60="","",IF($E60="2추","직접입력","-"))</x:f>
        <x:v/>
      </x:c>
      <x:c r="H60" s="213"/>
      <x:c r="I60" s="156" t="str">
        <x:f>IF(H60="","",VLOOKUP($H60,구분표!$O$3:$P$168,2,FALSE))</x:f>
        <x:v/>
      </x:c>
      <x:c r="J60" s="215"/>
      <x:c r="K60" s="459" t="str">
        <x:f>IF($E60="","",IF(OR($E60="2추",$E60="1추",$E60="본예산"),"금액입력","-"))</x:f>
        <x:v/>
      </x:c>
      <x:c r="L60" s="459" t="str">
        <x:f>IF($E60="","",IF($E60="2추","금액입력","-"))</x:f>
        <x:v/>
      </x:c>
      <x:c r="M60" s="461" t="str">
        <x:f t="shared" ref="M60:M75" si="83">IF($E60="","",SUM(K60:L60))</x:f>
        <x:v/>
      </x:c>
      <x:c r="N60" s="460"/>
      <x:c r="O60" s="461">
        <x:f t="shared" ref="O60:O75" si="84">SUM(M60:N60)</x:f>
        <x:v>0</x:v>
      </x:c>
      <x:c r="P60" s="462"/>
      <x:c r="Q60" s="463">
        <x:f t="shared" ref="Q60:Q75" si="85">SUM(M60,P60)</x:f>
        <x:v>0</x:v>
      </x:c>
      <x:c r="R60" s="162" t="str">
        <x:f t="shared" ref="R60:R75" si="86">IF(AND((O60=0),(Q60&gt;0)),"O",IF(AND((N60&lt;0),(O60-Q60&lt;0)),"O","X"))</x:f>
        <x:v>X</x:v>
      </x:c>
      <x:c r="S60" s="216"/>
      <x:c r="T60" s="327"/>
      <x:c r="U60" s="217"/>
      <x:c r="V60" s="203"/>
      <x:c r="W60" s="217"/>
      <x:c r="X60" s="217"/>
      <x:c r="Y60" s="162" t="str">
        <x:f t="shared" ref="Y60:Y75" si="87">IF($H60="","",IF(OR($H60="511-01",$H60="511-02",$H60="511-03",$H60="311-02",$H60="311-04",$H60="321-01"),"국비","도비"))</x:f>
        <x:v/>
      </x:c>
      <x:c r="Z60" s="45"/>
      <x:c r="AA60" s="471" t="str">
        <x:f t="shared" ref="AA60:AA75" si="88">IF($Y60="국비",IF($N60&lt;&gt;"",$N60,0),"")</x:f>
        <x:v/>
      </x:c>
      <x:c r="AB60" s="471" t="str">
        <x:f t="shared" ref="AB60:AB75" si="89">IF($Y60="도비",IF($AO60="자체",IF($N60&lt;&gt;"",$N60,0),""),"")</x:f>
        <x:v/>
      </x:c>
      <x:c r="AC60" s="471" t="str">
        <x:f t="shared" ref="AC60:AC75" si="90">IF($Y60="도비",IF($AO60="지방채",IF($N60&lt;&gt;"",$N60,0),""),"")</x:f>
        <x:v/>
      </x:c>
      <x:c r="AD60" s="471" t="str">
        <x:f t="shared" ref="AD60:AD75" si="91">IF($Y60="도비",IF($AO60="지역개발기금",IF($N60&lt;&gt;"",$N60,0),""),"")</x:f>
        <x:v/>
      </x:c>
      <x:c r="AE60" s="46"/>
      <x:c r="AF60" s="471" t="str">
        <x:f t="shared" ref="AF60:AF75" si="92">IF($Y60="국비",IF($P60&lt;&gt;"",$P60,0),"")</x:f>
        <x:v/>
      </x:c>
      <x:c r="AG60" s="471" t="str">
        <x:f t="shared" ref="AG60:AG75" si="93">IF($Y60="도비",IF($AO60="자체",IF($P60&lt;&gt;"",$P60,0),""),"")</x:f>
        <x:v/>
      </x:c>
      <x:c r="AH60" s="471" t="str">
        <x:f t="shared" ref="AH60:AH75" si="94">IF($Y60="도비",IF($AO60="지방채",IF($P60&lt;&gt;"",$P60,0),""),"")</x:f>
        <x:v/>
      </x:c>
      <x:c r="AI60" s="471" t="str">
        <x:f t="shared" ref="AI60:AI75" si="95">IF($Y60="도비",IF($AO60="지역개발기금",IF($P60&lt;&gt;"",$P60,0),""),"")</x:f>
        <x:v/>
      </x:c>
      <x:c r="AJ60" s="87"/>
      <x:c r="AK60" s="374" t="str">
        <x:f>IF($AQ60="","",IF(OR($AL60="",$AL60="도비"),"",CONCATENATE($AQ60,"-",COUNTIF($AQ$8:$AQ60,$AQ60))))</x:f>
        <x:v/>
      </x:c>
      <x:c r="AL60" s="374" t="str">
        <x:f t="shared" ref="AL60:AL75" si="96">IF($H60="","",IF($H60="511-01","국비",IF($H60="511-02","균특",IF($H60="511-03","기금",IF($H60="311-02","특교",IF($H60="311-04","소교",IF($H60="321-01","소멸","도비")))))))</x:f>
        <x:v/>
      </x:c>
      <x:c r="AM60" s="87"/>
      <x:c r="AN60" s="375" t="str">
        <x:f>IF($AQ60="","",IF(OR($AO60="",$AO60="국비",$AO60="자체"),"",CONCATENATE($AQ60,"-",$AO60,"-",COUNTIF($AQ$8:$AQ60,$AQ60))))</x:f>
        <x:v/>
      </x:c>
      <x:c r="AO60" s="375" t="str">
        <x:f t="shared" ref="AO60:AO75" si="97">IF($Y60="","",IF($Y60="국비","국비",IF($H60="612-01","지방채",IF($H60="722-02","지역개발기금","자체"))))</x:f>
        <x:v/>
      </x:c>
      <x:c r="AP60" s="87"/>
      <x:c r="AQ60" s="374" t="str">
        <x:f t="array" ref="AQ60:AQ60">IF(OR($D60="",$C60="직접입력",$B60="직접입력"),"",INDEX(구분표!$I$2:$I$337,MATCH(1,(구분표!$G$2:$G$337='3. 일입'!$B60)*(구분표!$E$2:$E$337='3. 일입'!$C60)*(구분표!$F$2:$F$337='3. 일입'!$D60),0)))</x:f>
        <x:v/>
      </x:c>
      <x:c r="AR60" s="87"/>
      <x:c r="AS60" s="472" t="str">
        <x:f>IF($AK60="","",SUMIFS('3. 일출(의존)'!$AB$7:$AB$1989,'3. 일출(의존)'!$AN$7:$AN$1989,$AK60))</x:f>
        <x:v/>
      </x:c>
      <x:c r="AT60" s="377" t="str">
        <x:f>IF($AK60="","",COUNTIF('3. 일출(의존)'!$AN$7:$AN$1989,$AK60))</x:f>
        <x:v/>
      </x:c>
      <x:c r="AU60" s="374" t="str">
        <x:f t="shared" ref="AU60:AU75" si="98">IF($AK60="","",IF($AA60=$AS60,"OK","@@"))</x:f>
        <x:v/>
      </x:c>
      <x:c r="AV60" s="472" t="str">
        <x:f>IF($AN60="","",IF($AO60="지역개발기금",SUMIFS('3. 일출(의존)'!$AE$8:$AE$2000,'3. 일출(의존)'!$AS$8:$AS$2000,$AN60)+SUMIFS('3. 일출(자체)'!$AE$8:$AE$2000,'3. 일출(자체)'!$AM$8:$AM$2000,$AN60),IF($AO60="지방채",SUMIFS('3. 일출(의존)'!$AD$8:$AD$2000,'3. 일출(의존)'!$AS$8:$AS$2000,$AN60)+SUMIFS('3. 일출(자체)'!$AD$8:$AD$2000,'3. 일출(자체)'!$AM$8:$AM$2000,$AN60),0)))</x:f>
        <x:v/>
      </x:c>
      <x:c r="AW60" s="377" t="str">
        <x:f>IF($AN60="","",COUNTIF('3. 일출(의존)'!$AS$8:$AS$2000,$AN60)+COUNTIF('3. 일출(자체)'!$AM$8:$AM$2000,$AN60))</x:f>
        <x:v/>
      </x:c>
      <x:c r="AX60" s="374" t="str">
        <x:f t="shared" ref="AX60:AX75" si="99">IF($AN60="","",IF($AO60="자체","",IF($AO60="지방채",IF($AC60=$AV60,"OK","@@"),IF($AO60="지역개발기금",IF($AD60=$AV60,"OK","@@"),"@@"))))</x:f>
        <x:v/>
      </x:c>
      <x:c r="AY60" s="91"/>
      <x:c r="AZ60" s="472" t="str">
        <x:f>IF($AK60="","",SUMIFS('3. 일출(의존)'!$AH$8:$AH$1989,'3. 일출(의존)'!$AN$8:$AN$1989,$AK60))</x:f>
        <x:v/>
      </x:c>
      <x:c r="BA60" s="377" t="str">
        <x:f>IF($AK60="","",COUNTIF('3. 일출(의존)'!$AN$7:$AN$1989,$AK60))</x:f>
        <x:v/>
      </x:c>
      <x:c r="BB60" s="374" t="str">
        <x:f t="shared" ref="BB60:BB75" si="100">IF($AK60="","",IF($AF60=$AZ60,"OK","@@"))</x:f>
        <x:v/>
      </x:c>
      <x:c r="BC60" s="472" t="str">
        <x:f>IF($AN60="","",IF($AO60="지역개발기금",SUMIFS('3. 일출(의존)'!$AK$8:$AK$2000,'3. 일출(의존)'!$AS$8:$AS$2000,$AN60)+SUMIFS('3. 일출(자체)'!$AJ$8:$AJ$2000,'3. 일출(자체)'!$AM$8:$AM$2000,$AN60),IF($AO60="지방채",SUMIFS('3. 일출(의존)'!$AJ$8:$AJ$2000,'3. 일출(의존)'!$AS$8:$AS$2000,$AN60)+SUMIFS('3. 일출(자체)'!$AI$8:$AI$2000,'3. 일출(자체)'!$AM$8:$AM$2000,$AN60),0)))</x:f>
        <x:v/>
      </x:c>
      <x:c r="BD60" s="377" t="str">
        <x:f>IF($AN60="","",COUNTIF('3. 일출(의존)'!$AS$8:$AS$2000,$AN60)+COUNTIF('3. 일출(자체)'!$AM$8:$AM$2000,$AN60))</x:f>
        <x:v/>
      </x:c>
      <x:c r="BE60" s="374" t="str">
        <x:f t="shared" ref="BE60:BE75" si="101">IF($AN60="","",IF($AO60="자체","",IF($AO60="지방채",IF($AH60=$BC60,"OK","@@"),IF($AO60="지역개발기금",IF($AI60=$BC60,"OK","@@"),"@@"))))</x:f>
        <x:v/>
      </x:c>
    </x:row>
    <x:row r="61" spans="1:57" s="20" customFormat="1" ht="80.099999999999994" customHeight="1">
      <x:c r="A61" s="155" t="str">
        <x:f>IF(D61="","",COUNTA($C$8:C61)-COUNTBLANK($C$8:C61)+4)</x:f>
        <x:v/>
      </x:c>
      <x:c r="B61" s="156" t="str">
        <x: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x:f>
        <x:v/>
      </x:c>
      <x:c r="C61" s="156" t="str">
        <x:f>IF(D61="","",IF(OR(D61="교육지원과",D61="총무과",D61="인사과"),"직접입력",VLOOKUP(D61,구분표!$A$3:$C$258,3,)))</x:f>
        <x:v/>
      </x:c>
      <x:c r="D61" s="219"/>
      <x:c r="E61" s="213"/>
      <x:c r="F61" s="388" t="str">
        <x:f t="shared" ref="F61:G75" si="102">IF($E61="","",IF($E61="2추","직접입력","-"))</x:f>
        <x:v/>
      </x:c>
      <x:c r="G61" s="388" t="str">
        <x:f t="shared" si="102"/>
        <x:v/>
      </x:c>
      <x:c r="H61" s="213"/>
      <x:c r="I61" s="156" t="str">
        <x:f>IF(H61="","",VLOOKUP($H61,구분표!$O$3:$P$168,2,FALSE))</x:f>
        <x:v/>
      </x:c>
      <x:c r="J61" s="215"/>
      <x:c r="K61" s="459" t="str">
        <x:f t="shared" ref="K61:K75" si="103">IF($E61="","",IF(OR($E61="2추",$E61="1추",$E61="본예산"),"금액입력","-"))</x:f>
        <x:v/>
      </x:c>
      <x:c r="L61" s="459" t="str">
        <x:f t="shared" ref="L61:L75" si="104">IF($E61="","",IF($E61="2추","금액입력","-"))</x:f>
        <x:v/>
      </x:c>
      <x:c r="M61" s="461" t="str">
        <x:f t="shared" si="83"/>
        <x:v/>
      </x:c>
      <x:c r="N61" s="460"/>
      <x:c r="O61" s="461">
        <x:f t="shared" si="84"/>
        <x:v>0</x:v>
      </x:c>
      <x:c r="P61" s="462"/>
      <x:c r="Q61" s="463">
        <x:f t="shared" si="85"/>
        <x:v>0</x:v>
      </x:c>
      <x:c r="R61" s="162" t="str">
        <x:f t="shared" si="86"/>
        <x:v>X</x:v>
      </x:c>
      <x:c r="S61" s="216"/>
      <x:c r="T61" s="327"/>
      <x:c r="U61" s="217"/>
      <x:c r="V61" s="203"/>
      <x:c r="W61" s="217"/>
      <x:c r="X61" s="217"/>
      <x:c r="Y61" s="162" t="str">
        <x:f t="shared" si="87"/>
        <x:v/>
      </x:c>
      <x:c r="Z61" s="45"/>
      <x:c r="AA61" s="471" t="str">
        <x:f t="shared" si="88"/>
        <x:v/>
      </x:c>
      <x:c r="AB61" s="471" t="str">
        <x:f t="shared" si="89"/>
        <x:v/>
      </x:c>
      <x:c r="AC61" s="471" t="str">
        <x:f t="shared" si="90"/>
        <x:v/>
      </x:c>
      <x:c r="AD61" s="471" t="str">
        <x:f t="shared" si="91"/>
        <x:v/>
      </x:c>
      <x:c r="AE61" s="46"/>
      <x:c r="AF61" s="471" t="str">
        <x:f t="shared" si="92"/>
        <x:v/>
      </x:c>
      <x:c r="AG61" s="471" t="str">
        <x:f t="shared" si="93"/>
        <x:v/>
      </x:c>
      <x:c r="AH61" s="471" t="str">
        <x:f t="shared" si="94"/>
        <x:v/>
      </x:c>
      <x:c r="AI61" s="471" t="str">
        <x:f t="shared" si="95"/>
        <x:v/>
      </x:c>
      <x:c r="AJ61" s="87"/>
      <x:c r="AK61" s="374" t="str">
        <x:f>IF($AQ61="","",IF(OR($AL61="",$AL61="도비"),"",CONCATENATE($AQ61,"-",COUNTIF($AQ$8:$AQ61,$AQ61))))</x:f>
        <x:v/>
      </x:c>
      <x:c r="AL61" s="374" t="str">
        <x:f t="shared" si="96"/>
        <x:v/>
      </x:c>
      <x:c r="AM61" s="87"/>
      <x:c r="AN61" s="375" t="str">
        <x:f>IF($AQ61="","",IF(OR($AO61="",$AO61="국비",$AO61="자체"),"",CONCATENATE($AQ61,"-",$AO61,"-",COUNTIF($AQ$8:$AQ61,$AQ61))))</x:f>
        <x:v/>
      </x:c>
      <x:c r="AO61" s="375" t="str">
        <x:f t="shared" si="97"/>
        <x:v/>
      </x:c>
      <x:c r="AP61" s="87"/>
      <x:c r="AQ61" s="374" t="str">
        <x:f t="array" ref="AQ61:AQ61">IF(OR($D61="",$C61="직접입력",$B61="직접입력"),"",INDEX(구분표!$I$2:$I$337,MATCH(1,(구분표!$G$2:$G$337='3. 일입'!$B61)*(구분표!$E$2:$E$337='3. 일입'!$C61)*(구분표!$F$2:$F$337='3. 일입'!$D61),0)))</x:f>
        <x:v/>
      </x:c>
      <x:c r="AR61" s="87"/>
      <x:c r="AS61" s="472" t="str">
        <x:f>IF($AK61="","",SUMIFS('3. 일출(의존)'!$AB$7:$AB$1989,'3. 일출(의존)'!$AN$7:$AN$1989,$AK61))</x:f>
        <x:v/>
      </x:c>
      <x:c r="AT61" s="377" t="str">
        <x:f>IF($AK61="","",COUNTIF('3. 일출(의존)'!$AN$7:$AN$1989,$AK61))</x:f>
        <x:v/>
      </x:c>
      <x:c r="AU61" s="374" t="str">
        <x:f t="shared" si="98"/>
        <x:v/>
      </x:c>
      <x:c r="AV61" s="472" t="str">
        <x:f>IF($AN61="","",IF($AO61="지역개발기금",SUMIFS('3. 일출(의존)'!$AE$8:$AE$2000,'3. 일출(의존)'!$AS$8:$AS$2000,$AN61)+SUMIFS('3. 일출(자체)'!$AE$8:$AE$2000,'3. 일출(자체)'!$AM$8:$AM$2000,$AN61),IF($AO61="지방채",SUMIFS('3. 일출(의존)'!$AD$8:$AD$2000,'3. 일출(의존)'!$AS$8:$AS$2000,$AN61)+SUMIFS('3. 일출(자체)'!$AD$8:$AD$2000,'3. 일출(자체)'!$AM$8:$AM$2000,$AN61),0)))</x:f>
        <x:v/>
      </x:c>
      <x:c r="AW61" s="377" t="str">
        <x:f>IF($AN61="","",COUNTIF('3. 일출(의존)'!$AS$8:$AS$2000,$AN61)+COUNTIF('3. 일출(자체)'!$AM$8:$AM$2000,$AN61))</x:f>
        <x:v/>
      </x:c>
      <x:c r="AX61" s="374" t="str">
        <x:f t="shared" si="99"/>
        <x:v/>
      </x:c>
      <x:c r="AY61" s="91"/>
      <x:c r="AZ61" s="472" t="str">
        <x:f>IF($AK61="","",SUMIFS('3. 일출(의존)'!$AH$8:$AH$1989,'3. 일출(의존)'!$AN$8:$AN$1989,$AK61))</x:f>
        <x:v/>
      </x:c>
      <x:c r="BA61" s="377" t="str">
        <x:f>IF($AK61="","",COUNTIF('3. 일출(의존)'!$AN$7:$AN$1989,$AK61))</x:f>
        <x:v/>
      </x:c>
      <x:c r="BB61" s="374" t="str">
        <x:f t="shared" si="100"/>
        <x:v/>
      </x:c>
      <x:c r="BC61" s="472" t="str">
        <x:f>IF($AN61="","",IF($AO61="지역개발기금",SUMIFS('3. 일출(의존)'!$AK$8:$AK$2000,'3. 일출(의존)'!$AS$8:$AS$2000,$AN61)+SUMIFS('3. 일출(자체)'!$AJ$8:$AJ$2000,'3. 일출(자체)'!$AM$8:$AM$2000,$AN61),IF($AO61="지방채",SUMIFS('3. 일출(의존)'!$AJ$8:$AJ$2000,'3. 일출(의존)'!$AS$8:$AS$2000,$AN61)+SUMIFS('3. 일출(자체)'!$AI$8:$AI$2000,'3. 일출(자체)'!$AM$8:$AM$2000,$AN61),0)))</x:f>
        <x:v/>
      </x:c>
      <x:c r="BD61" s="377" t="str">
        <x:f>IF($AN61="","",COUNTIF('3. 일출(의존)'!$AS$8:$AS$2000,$AN61)+COUNTIF('3. 일출(자체)'!$AM$8:$AM$2000,$AN61))</x:f>
        <x:v/>
      </x:c>
      <x:c r="BE61" s="374" t="str">
        <x:f t="shared" si="101"/>
        <x:v/>
      </x:c>
    </x:row>
    <x:row r="62" spans="1:57" s="20" customFormat="1" ht="80.099999999999994" customHeight="1">
      <x:c r="A62" s="155" t="str">
        <x:f>IF(D62="","",COUNTA($C$8:C62)-COUNTBLANK($C$8:C62)+4)</x:f>
        <x:v/>
      </x:c>
      <x:c r="B62" s="156" t="str">
        <x: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x:f>
        <x:v/>
      </x:c>
      <x:c r="C62" s="156" t="str">
        <x:f>IF(D62="","",IF(OR(D62="교육지원과",D62="총무과",D62="인사과"),"직접입력",VLOOKUP(D62,구분표!$A$3:$C$258,3,)))</x:f>
        <x:v/>
      </x:c>
      <x:c r="D62" s="219"/>
      <x:c r="E62" s="213"/>
      <x:c r="F62" s="388" t="str">
        <x:f t="shared" si="102"/>
        <x:v/>
      </x:c>
      <x:c r="G62" s="388" t="str">
        <x:f t="shared" si="102"/>
        <x:v/>
      </x:c>
      <x:c r="H62" s="213"/>
      <x:c r="I62" s="156" t="str">
        <x:f>IF(H62="","",VLOOKUP($H62,구분표!$O$3:$P$168,2,FALSE))</x:f>
        <x:v/>
      </x:c>
      <x:c r="J62" s="215"/>
      <x:c r="K62" s="459" t="str">
        <x:f t="shared" si="103"/>
        <x:v/>
      </x:c>
      <x:c r="L62" s="459" t="str">
        <x:f t="shared" si="104"/>
        <x:v/>
      </x:c>
      <x:c r="M62" s="461" t="str">
        <x:f t="shared" si="83"/>
        <x:v/>
      </x:c>
      <x:c r="N62" s="460"/>
      <x:c r="O62" s="461">
        <x:f t="shared" si="84"/>
        <x:v>0</x:v>
      </x:c>
      <x:c r="P62" s="462"/>
      <x:c r="Q62" s="463">
        <x:f t="shared" si="85"/>
        <x:v>0</x:v>
      </x:c>
      <x:c r="R62" s="162" t="str">
        <x:f t="shared" si="86"/>
        <x:v>X</x:v>
      </x:c>
      <x:c r="S62" s="216"/>
      <x:c r="T62" s="327"/>
      <x:c r="U62" s="217"/>
      <x:c r="V62" s="203"/>
      <x:c r="W62" s="217"/>
      <x:c r="X62" s="217"/>
      <x:c r="Y62" s="162" t="str">
        <x:f t="shared" si="87"/>
        <x:v/>
      </x:c>
      <x:c r="Z62" s="45"/>
      <x:c r="AA62" s="471" t="str">
        <x:f t="shared" si="88"/>
        <x:v/>
      </x:c>
      <x:c r="AB62" s="471" t="str">
        <x:f t="shared" si="89"/>
        <x:v/>
      </x:c>
      <x:c r="AC62" s="471" t="str">
        <x:f t="shared" si="90"/>
        <x:v/>
      </x:c>
      <x:c r="AD62" s="471" t="str">
        <x:f t="shared" si="91"/>
        <x:v/>
      </x:c>
      <x:c r="AE62" s="46"/>
      <x:c r="AF62" s="471" t="str">
        <x:f t="shared" si="92"/>
        <x:v/>
      </x:c>
      <x:c r="AG62" s="471" t="str">
        <x:f t="shared" si="93"/>
        <x:v/>
      </x:c>
      <x:c r="AH62" s="471" t="str">
        <x:f t="shared" si="94"/>
        <x:v/>
      </x:c>
      <x:c r="AI62" s="471" t="str">
        <x:f t="shared" si="95"/>
        <x:v/>
      </x:c>
      <x:c r="AJ62" s="87"/>
      <x:c r="AK62" s="374" t="str">
        <x:f>IF($AQ62="","",IF(OR($AL62="",$AL62="도비"),"",CONCATENATE($AQ62,"-",COUNTIF($AQ$8:$AQ62,$AQ62))))</x:f>
        <x:v/>
      </x:c>
      <x:c r="AL62" s="374" t="str">
        <x:f t="shared" si="96"/>
        <x:v/>
      </x:c>
      <x:c r="AM62" s="87"/>
      <x:c r="AN62" s="375" t="str">
        <x:f>IF($AQ62="","",IF(OR($AO62="",$AO62="국비",$AO62="자체"),"",CONCATENATE($AQ62,"-",$AO62,"-",COUNTIF($AQ$8:$AQ62,$AQ62))))</x:f>
        <x:v/>
      </x:c>
      <x:c r="AO62" s="375" t="str">
        <x:f t="shared" si="97"/>
        <x:v/>
      </x:c>
      <x:c r="AP62" s="87"/>
      <x:c r="AQ62" s="374" t="str">
        <x:f t="array" ref="AQ62:AQ62">IF(OR($D62="",$C62="직접입력",$B62="직접입력"),"",INDEX(구분표!$I$2:$I$337,MATCH(1,(구분표!$G$2:$G$337='3. 일입'!$B62)*(구분표!$E$2:$E$337='3. 일입'!$C62)*(구분표!$F$2:$F$337='3. 일입'!$D62),0)))</x:f>
        <x:v/>
      </x:c>
      <x:c r="AR62" s="87"/>
      <x:c r="AS62" s="472" t="str">
        <x:f>IF($AK62="","",SUMIFS('3. 일출(의존)'!$AB$7:$AB$1989,'3. 일출(의존)'!$AN$7:$AN$1989,$AK62))</x:f>
        <x:v/>
      </x:c>
      <x:c r="AT62" s="377" t="str">
        <x:f>IF($AK62="","",COUNTIF('3. 일출(의존)'!$AN$7:$AN$1989,$AK62))</x:f>
        <x:v/>
      </x:c>
      <x:c r="AU62" s="374" t="str">
        <x:f t="shared" si="98"/>
        <x:v/>
      </x:c>
      <x:c r="AV62" s="472" t="str">
        <x:f>IF($AN62="","",IF($AO62="지역개발기금",SUMIFS('3. 일출(의존)'!$AE$8:$AE$2000,'3. 일출(의존)'!$AS$8:$AS$2000,$AN62)+SUMIFS('3. 일출(자체)'!$AE$8:$AE$2000,'3. 일출(자체)'!$AM$8:$AM$2000,$AN62),IF($AO62="지방채",SUMIFS('3. 일출(의존)'!$AD$8:$AD$2000,'3. 일출(의존)'!$AS$8:$AS$2000,$AN62)+SUMIFS('3. 일출(자체)'!$AD$8:$AD$2000,'3. 일출(자체)'!$AM$8:$AM$2000,$AN62),0)))</x:f>
        <x:v/>
      </x:c>
      <x:c r="AW62" s="377" t="str">
        <x:f>IF($AN62="","",COUNTIF('3. 일출(의존)'!$AS$8:$AS$2000,$AN62)+COUNTIF('3. 일출(자체)'!$AM$8:$AM$2000,$AN62))</x:f>
        <x:v/>
      </x:c>
      <x:c r="AX62" s="374" t="str">
        <x:f t="shared" si="99"/>
        <x:v/>
      </x:c>
      <x:c r="AY62" s="91"/>
      <x:c r="AZ62" s="472" t="str">
        <x:f>IF($AK62="","",SUMIFS('3. 일출(의존)'!$AH$8:$AH$1989,'3. 일출(의존)'!$AN$8:$AN$1989,$AK62))</x:f>
        <x:v/>
      </x:c>
      <x:c r="BA62" s="377" t="str">
        <x:f>IF($AK62="","",COUNTIF('3. 일출(의존)'!$AN$7:$AN$1989,$AK62))</x:f>
        <x:v/>
      </x:c>
      <x:c r="BB62" s="374" t="str">
        <x:f t="shared" si="100"/>
        <x:v/>
      </x:c>
      <x:c r="BC62" s="472" t="str">
        <x:f>IF($AN62="","",IF($AO62="지역개발기금",SUMIFS('3. 일출(의존)'!$AK$8:$AK$2000,'3. 일출(의존)'!$AS$8:$AS$2000,$AN62)+SUMIFS('3. 일출(자체)'!$AJ$8:$AJ$2000,'3. 일출(자체)'!$AM$8:$AM$2000,$AN62),IF($AO62="지방채",SUMIFS('3. 일출(의존)'!$AJ$8:$AJ$2000,'3. 일출(의존)'!$AS$8:$AS$2000,$AN62)+SUMIFS('3. 일출(자체)'!$AI$8:$AI$2000,'3. 일출(자체)'!$AM$8:$AM$2000,$AN62),0)))</x:f>
        <x:v/>
      </x:c>
      <x:c r="BD62" s="377" t="str">
        <x:f>IF($AN62="","",COUNTIF('3. 일출(의존)'!$AS$8:$AS$2000,$AN62)+COUNTIF('3. 일출(자체)'!$AM$8:$AM$2000,$AN62))</x:f>
        <x:v/>
      </x:c>
      <x:c r="BE62" s="374" t="str">
        <x:f t="shared" si="101"/>
        <x:v/>
      </x:c>
    </x:row>
    <x:row r="63" spans="1:57" s="20" customFormat="1" ht="80.099999999999994" customHeight="1">
      <x:c r="A63" s="155" t="str">
        <x:f>IF(D63="","",COUNTA($C$8:C63)-COUNTBLANK($C$8:C63)+4)</x:f>
        <x:v/>
      </x:c>
      <x:c r="B63" s="156" t="str">
        <x: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x:f>
        <x:v/>
      </x:c>
      <x:c r="C63" s="156" t="str">
        <x:f>IF(D63="","",IF(OR(D63="교육지원과",D63="총무과",D63="인사과"),"직접입력",VLOOKUP(D63,구분표!$A$3:$C$258,3,)))</x:f>
        <x:v/>
      </x:c>
      <x:c r="D63" s="219"/>
      <x:c r="E63" s="213"/>
      <x:c r="F63" s="388" t="str">
        <x:f t="shared" si="102"/>
        <x:v/>
      </x:c>
      <x:c r="G63" s="388" t="str">
        <x:f t="shared" si="102"/>
        <x:v/>
      </x:c>
      <x:c r="H63" s="213"/>
      <x:c r="I63" s="156" t="str">
        <x:f>IF(H63="","",VLOOKUP($H63,구분표!$O$3:$P$168,2,FALSE))</x:f>
        <x:v/>
      </x:c>
      <x:c r="J63" s="215"/>
      <x:c r="K63" s="459" t="str">
        <x:f t="shared" si="103"/>
        <x:v/>
      </x:c>
      <x:c r="L63" s="459" t="str">
        <x:f t="shared" si="104"/>
        <x:v/>
      </x:c>
      <x:c r="M63" s="461" t="str">
        <x:f t="shared" si="83"/>
        <x:v/>
      </x:c>
      <x:c r="N63" s="460"/>
      <x:c r="O63" s="461">
        <x:f t="shared" si="84"/>
        <x:v>0</x:v>
      </x:c>
      <x:c r="P63" s="462"/>
      <x:c r="Q63" s="463">
        <x:f t="shared" si="85"/>
        <x:v>0</x:v>
      </x:c>
      <x:c r="R63" s="162" t="str">
        <x:f t="shared" si="86"/>
        <x:v>X</x:v>
      </x:c>
      <x:c r="S63" s="216"/>
      <x:c r="T63" s="327"/>
      <x:c r="U63" s="217"/>
      <x:c r="V63" s="203"/>
      <x:c r="W63" s="217"/>
      <x:c r="X63" s="217"/>
      <x:c r="Y63" s="162" t="str">
        <x:f t="shared" si="87"/>
        <x:v/>
      </x:c>
      <x:c r="Z63" s="45"/>
      <x:c r="AA63" s="471" t="str">
        <x:f t="shared" si="88"/>
        <x:v/>
      </x:c>
      <x:c r="AB63" s="471" t="str">
        <x:f t="shared" si="89"/>
        <x:v/>
      </x:c>
      <x:c r="AC63" s="471" t="str">
        <x:f t="shared" si="90"/>
        <x:v/>
      </x:c>
      <x:c r="AD63" s="471" t="str">
        <x:f t="shared" si="91"/>
        <x:v/>
      </x:c>
      <x:c r="AE63" s="46"/>
      <x:c r="AF63" s="471" t="str">
        <x:f t="shared" si="92"/>
        <x:v/>
      </x:c>
      <x:c r="AG63" s="471" t="str">
        <x:f t="shared" si="93"/>
        <x:v/>
      </x:c>
      <x:c r="AH63" s="471" t="str">
        <x:f t="shared" si="94"/>
        <x:v/>
      </x:c>
      <x:c r="AI63" s="471" t="str">
        <x:f t="shared" si="95"/>
        <x:v/>
      </x:c>
      <x:c r="AJ63" s="87"/>
      <x:c r="AK63" s="374" t="str">
        <x:f>IF($AQ63="","",IF(OR($AL63="",$AL63="도비"),"",CONCATENATE($AQ63,"-",COUNTIF($AQ$8:$AQ63,$AQ63))))</x:f>
        <x:v/>
      </x:c>
      <x:c r="AL63" s="374" t="str">
        <x:f t="shared" si="96"/>
        <x:v/>
      </x:c>
      <x:c r="AM63" s="87"/>
      <x:c r="AN63" s="375" t="str">
        <x:f>IF($AQ63="","",IF(OR($AO63="",$AO63="국비",$AO63="자체"),"",CONCATENATE($AQ63,"-",$AO63,"-",COUNTIF($AQ$8:$AQ63,$AQ63))))</x:f>
        <x:v/>
      </x:c>
      <x:c r="AO63" s="375" t="str">
        <x:f t="shared" si="97"/>
        <x:v/>
      </x:c>
      <x:c r="AP63" s="87"/>
      <x:c r="AQ63" s="374" t="str">
        <x:f t="array" ref="AQ63:AQ63">IF(OR($D63="",$C63="직접입력",$B63="직접입력"),"",INDEX(구분표!$I$2:$I$337,MATCH(1,(구분표!$G$2:$G$337='3. 일입'!$B63)*(구분표!$E$2:$E$337='3. 일입'!$C63)*(구분표!$F$2:$F$337='3. 일입'!$D63),0)))</x:f>
        <x:v/>
      </x:c>
      <x:c r="AR63" s="87"/>
      <x:c r="AS63" s="472" t="str">
        <x:f>IF($AK63="","",SUMIFS('3. 일출(의존)'!$AB$7:$AB$1989,'3. 일출(의존)'!$AN$7:$AN$1989,$AK63))</x:f>
        <x:v/>
      </x:c>
      <x:c r="AT63" s="377" t="str">
        <x:f>IF($AK63="","",COUNTIF('3. 일출(의존)'!$AN$7:$AN$1989,$AK63))</x:f>
        <x:v/>
      </x:c>
      <x:c r="AU63" s="374" t="str">
        <x:f t="shared" si="98"/>
        <x:v/>
      </x:c>
      <x:c r="AV63" s="472" t="str">
        <x:f>IF($AN63="","",IF($AO63="지역개발기금",SUMIFS('3. 일출(의존)'!$AE$8:$AE$2000,'3. 일출(의존)'!$AS$8:$AS$2000,$AN63)+SUMIFS('3. 일출(자체)'!$AE$8:$AE$2000,'3. 일출(자체)'!$AM$8:$AM$2000,$AN63),IF($AO63="지방채",SUMIFS('3. 일출(의존)'!$AD$8:$AD$2000,'3. 일출(의존)'!$AS$8:$AS$2000,$AN63)+SUMIFS('3. 일출(자체)'!$AD$8:$AD$2000,'3. 일출(자체)'!$AM$8:$AM$2000,$AN63),0)))</x:f>
        <x:v/>
      </x:c>
      <x:c r="AW63" s="377" t="str">
        <x:f>IF($AN63="","",COUNTIF('3. 일출(의존)'!$AS$8:$AS$2000,$AN63)+COUNTIF('3. 일출(자체)'!$AM$8:$AM$2000,$AN63))</x:f>
        <x:v/>
      </x:c>
      <x:c r="AX63" s="374" t="str">
        <x:f t="shared" si="99"/>
        <x:v/>
      </x:c>
      <x:c r="AY63" s="91"/>
      <x:c r="AZ63" s="472" t="str">
        <x:f>IF($AK63="","",SUMIFS('3. 일출(의존)'!$AH$8:$AH$1989,'3. 일출(의존)'!$AN$8:$AN$1989,$AK63))</x:f>
        <x:v/>
      </x:c>
      <x:c r="BA63" s="377" t="str">
        <x:f>IF($AK63="","",COUNTIF('3. 일출(의존)'!$AN$7:$AN$1989,$AK63))</x:f>
        <x:v/>
      </x:c>
      <x:c r="BB63" s="374" t="str">
        <x:f t="shared" si="100"/>
        <x:v/>
      </x:c>
      <x:c r="BC63" s="472" t="str">
        <x:f>IF($AN63="","",IF($AO63="지역개발기금",SUMIFS('3. 일출(의존)'!$AK$8:$AK$2000,'3. 일출(의존)'!$AS$8:$AS$2000,$AN63)+SUMIFS('3. 일출(자체)'!$AJ$8:$AJ$2000,'3. 일출(자체)'!$AM$8:$AM$2000,$AN63),IF($AO63="지방채",SUMIFS('3. 일출(의존)'!$AJ$8:$AJ$2000,'3. 일출(의존)'!$AS$8:$AS$2000,$AN63)+SUMIFS('3. 일출(자체)'!$AI$8:$AI$2000,'3. 일출(자체)'!$AM$8:$AM$2000,$AN63),0)))</x:f>
        <x:v/>
      </x:c>
      <x:c r="BD63" s="377" t="str">
        <x:f>IF($AN63="","",COUNTIF('3. 일출(의존)'!$AS$8:$AS$2000,$AN63)+COUNTIF('3. 일출(자체)'!$AM$8:$AM$2000,$AN63))</x:f>
        <x:v/>
      </x:c>
      <x:c r="BE63" s="374" t="str">
        <x:f t="shared" si="101"/>
        <x:v/>
      </x:c>
    </x:row>
    <x:row r="64" spans="1:57" s="20" customFormat="1" ht="80.099999999999994" customHeight="1">
      <x:c r="A64" s="155" t="str">
        <x:f>IF(D64="","",COUNTA($C$8:C64)-COUNTBLANK($C$8:C64)+4)</x:f>
        <x:v/>
      </x:c>
      <x:c r="B64" s="156" t="str">
        <x: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x:f>
        <x:v/>
      </x:c>
      <x:c r="C64" s="156" t="str">
        <x:f>IF(D64="","",IF(OR(D64="교육지원과",D64="총무과",D64="인사과"),"직접입력",VLOOKUP(D64,구분표!$A$3:$C$258,3,)))</x:f>
        <x:v/>
      </x:c>
      <x:c r="D64" s="219"/>
      <x:c r="E64" s="213"/>
      <x:c r="F64" s="388" t="str">
        <x:f t="shared" si="102"/>
        <x:v/>
      </x:c>
      <x:c r="G64" s="388" t="str">
        <x:f t="shared" si="102"/>
        <x:v/>
      </x:c>
      <x:c r="H64" s="213"/>
      <x:c r="I64" s="156" t="str">
        <x:f>IF(H64="","",VLOOKUP($H64,구분표!$O$3:$P$168,2,FALSE))</x:f>
        <x:v/>
      </x:c>
      <x:c r="J64" s="215"/>
      <x:c r="K64" s="459" t="str">
        <x:f t="shared" si="103"/>
        <x:v/>
      </x:c>
      <x:c r="L64" s="459" t="str">
        <x:f t="shared" si="104"/>
        <x:v/>
      </x:c>
      <x:c r="M64" s="461" t="str">
        <x:f t="shared" si="83"/>
        <x:v/>
      </x:c>
      <x:c r="N64" s="460"/>
      <x:c r="O64" s="461">
        <x:f t="shared" si="84"/>
        <x:v>0</x:v>
      </x:c>
      <x:c r="P64" s="462"/>
      <x:c r="Q64" s="463">
        <x:f t="shared" si="85"/>
        <x:v>0</x:v>
      </x:c>
      <x:c r="R64" s="162" t="str">
        <x:f t="shared" si="86"/>
        <x:v>X</x:v>
      </x:c>
      <x:c r="S64" s="216"/>
      <x:c r="T64" s="327"/>
      <x:c r="U64" s="217"/>
      <x:c r="V64" s="203"/>
      <x:c r="W64" s="217"/>
      <x:c r="X64" s="217"/>
      <x:c r="Y64" s="162" t="str">
        <x:f t="shared" si="87"/>
        <x:v/>
      </x:c>
      <x:c r="Z64" s="45"/>
      <x:c r="AA64" s="471" t="str">
        <x:f t="shared" si="88"/>
        <x:v/>
      </x:c>
      <x:c r="AB64" s="471" t="str">
        <x:f t="shared" si="89"/>
        <x:v/>
      </x:c>
      <x:c r="AC64" s="471" t="str">
        <x:f t="shared" si="90"/>
        <x:v/>
      </x:c>
      <x:c r="AD64" s="471" t="str">
        <x:f t="shared" si="91"/>
        <x:v/>
      </x:c>
      <x:c r="AE64" s="46"/>
      <x:c r="AF64" s="471" t="str">
        <x:f t="shared" si="92"/>
        <x:v/>
      </x:c>
      <x:c r="AG64" s="471" t="str">
        <x:f t="shared" si="93"/>
        <x:v/>
      </x:c>
      <x:c r="AH64" s="471" t="str">
        <x:f t="shared" si="94"/>
        <x:v/>
      </x:c>
      <x:c r="AI64" s="471" t="str">
        <x:f t="shared" si="95"/>
        <x:v/>
      </x:c>
      <x:c r="AJ64" s="87"/>
      <x:c r="AK64" s="374" t="str">
        <x:f>IF($AQ64="","",IF(OR($AL64="",$AL64="도비"),"",CONCATENATE($AQ64,"-",COUNTIF($AQ$8:$AQ64,$AQ64))))</x:f>
        <x:v/>
      </x:c>
      <x:c r="AL64" s="374" t="str">
        <x:f t="shared" si="96"/>
        <x:v/>
      </x:c>
      <x:c r="AM64" s="87"/>
      <x:c r="AN64" s="375" t="str">
        <x:f>IF($AQ64="","",IF(OR($AO64="",$AO64="국비",$AO64="자체"),"",CONCATENATE($AQ64,"-",$AO64,"-",COUNTIF($AQ$8:$AQ64,$AQ64))))</x:f>
        <x:v/>
      </x:c>
      <x:c r="AO64" s="375" t="str">
        <x:f t="shared" si="97"/>
        <x:v/>
      </x:c>
      <x:c r="AP64" s="87"/>
      <x:c r="AQ64" s="374" t="str">
        <x:f t="array" ref="AQ64:AQ64">IF(OR($D64="",$C64="직접입력",$B64="직접입력"),"",INDEX(구분표!$I$2:$I$337,MATCH(1,(구분표!$G$2:$G$337='3. 일입'!$B64)*(구분표!$E$2:$E$337='3. 일입'!$C64)*(구분표!$F$2:$F$337='3. 일입'!$D64),0)))</x:f>
        <x:v/>
      </x:c>
      <x:c r="AR64" s="87"/>
      <x:c r="AS64" s="472" t="str">
        <x:f>IF($AK64="","",SUMIFS('3. 일출(의존)'!$AB$7:$AB$1989,'3. 일출(의존)'!$AN$7:$AN$1989,$AK64))</x:f>
        <x:v/>
      </x:c>
      <x:c r="AT64" s="377" t="str">
        <x:f>IF($AK64="","",COUNTIF('3. 일출(의존)'!$AN$7:$AN$1989,$AK64))</x:f>
        <x:v/>
      </x:c>
      <x:c r="AU64" s="374" t="str">
        <x:f t="shared" si="98"/>
        <x:v/>
      </x:c>
      <x:c r="AV64" s="472" t="str">
        <x:f>IF($AN64="","",IF($AO64="지역개발기금",SUMIFS('3. 일출(의존)'!$AE$8:$AE$2000,'3. 일출(의존)'!$AS$8:$AS$2000,$AN64)+SUMIFS('3. 일출(자체)'!$AE$8:$AE$2000,'3. 일출(자체)'!$AM$8:$AM$2000,$AN64),IF($AO64="지방채",SUMIFS('3. 일출(의존)'!$AD$8:$AD$2000,'3. 일출(의존)'!$AS$8:$AS$2000,$AN64)+SUMIFS('3. 일출(자체)'!$AD$8:$AD$2000,'3. 일출(자체)'!$AM$8:$AM$2000,$AN64),0)))</x:f>
        <x:v/>
      </x:c>
      <x:c r="AW64" s="377" t="str">
        <x:f>IF($AN64="","",COUNTIF('3. 일출(의존)'!$AS$8:$AS$2000,$AN64)+COUNTIF('3. 일출(자체)'!$AM$8:$AM$2000,$AN64))</x:f>
        <x:v/>
      </x:c>
      <x:c r="AX64" s="374" t="str">
        <x:f t="shared" si="99"/>
        <x:v/>
      </x:c>
      <x:c r="AY64" s="91"/>
      <x:c r="AZ64" s="472" t="str">
        <x:f>IF($AK64="","",SUMIFS('3. 일출(의존)'!$AH$8:$AH$1989,'3. 일출(의존)'!$AN$8:$AN$1989,$AK64))</x:f>
        <x:v/>
      </x:c>
      <x:c r="BA64" s="377" t="str">
        <x:f>IF($AK64="","",COUNTIF('3. 일출(의존)'!$AN$7:$AN$1989,$AK64))</x:f>
        <x:v/>
      </x:c>
      <x:c r="BB64" s="374" t="str">
        <x:f t="shared" si="100"/>
        <x:v/>
      </x:c>
      <x:c r="BC64" s="472" t="str">
        <x:f>IF($AN64="","",IF($AO64="지역개발기금",SUMIFS('3. 일출(의존)'!$AK$8:$AK$2000,'3. 일출(의존)'!$AS$8:$AS$2000,$AN64)+SUMIFS('3. 일출(자체)'!$AJ$8:$AJ$2000,'3. 일출(자체)'!$AM$8:$AM$2000,$AN64),IF($AO64="지방채",SUMIFS('3. 일출(의존)'!$AJ$8:$AJ$2000,'3. 일출(의존)'!$AS$8:$AS$2000,$AN64)+SUMIFS('3. 일출(자체)'!$AI$8:$AI$2000,'3. 일출(자체)'!$AM$8:$AM$2000,$AN64),0)))</x:f>
        <x:v/>
      </x:c>
      <x:c r="BD64" s="377" t="str">
        <x:f>IF($AN64="","",COUNTIF('3. 일출(의존)'!$AS$8:$AS$2000,$AN64)+COUNTIF('3. 일출(자체)'!$AM$8:$AM$2000,$AN64))</x:f>
        <x:v/>
      </x:c>
      <x:c r="BE64" s="374" t="str">
        <x:f t="shared" si="101"/>
        <x:v/>
      </x:c>
    </x:row>
    <x:row r="65" spans="1:57" s="20" customFormat="1" ht="80.099999999999994" customHeight="1">
      <x:c r="A65" s="155" t="str">
        <x:f>IF(D65="","",COUNTA($C$8:C65)-COUNTBLANK($C$8:C65)+4)</x:f>
        <x:v/>
      </x:c>
      <x:c r="B65" s="156" t="str">
        <x: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x:f>
        <x:v/>
      </x:c>
      <x:c r="C65" s="156" t="str">
        <x:f>IF(D65="","",IF(OR(D65="교육지원과",D65="총무과",D65="인사과"),"직접입력",VLOOKUP(D65,구분표!$A$3:$C$258,3,)))</x:f>
        <x:v/>
      </x:c>
      <x:c r="D65" s="219"/>
      <x:c r="E65" s="213"/>
      <x:c r="F65" s="388" t="str">
        <x:f t="shared" si="102"/>
        <x:v/>
      </x:c>
      <x:c r="G65" s="388" t="str">
        <x:f t="shared" si="102"/>
        <x:v/>
      </x:c>
      <x:c r="H65" s="213"/>
      <x:c r="I65" s="156" t="str">
        <x:f>IF(H65="","",VLOOKUP($H65,구분표!$O$3:$P$168,2,FALSE))</x:f>
        <x:v/>
      </x:c>
      <x:c r="J65" s="215"/>
      <x:c r="K65" s="459" t="str">
        <x:f t="shared" si="103"/>
        <x:v/>
      </x:c>
      <x:c r="L65" s="459" t="str">
        <x:f t="shared" si="104"/>
        <x:v/>
      </x:c>
      <x:c r="M65" s="461" t="str">
        <x:f t="shared" si="83"/>
        <x:v/>
      </x:c>
      <x:c r="N65" s="460"/>
      <x:c r="O65" s="461">
        <x:f t="shared" si="84"/>
        <x:v>0</x:v>
      </x:c>
      <x:c r="P65" s="462"/>
      <x:c r="Q65" s="463">
        <x:f t="shared" si="85"/>
        <x:v>0</x:v>
      </x:c>
      <x:c r="R65" s="162" t="str">
        <x:f t="shared" si="86"/>
        <x:v>X</x:v>
      </x:c>
      <x:c r="S65" s="216"/>
      <x:c r="T65" s="327"/>
      <x:c r="U65" s="217"/>
      <x:c r="V65" s="203"/>
      <x:c r="W65" s="217"/>
      <x:c r="X65" s="217"/>
      <x:c r="Y65" s="162" t="str">
        <x:f t="shared" si="87"/>
        <x:v/>
      </x:c>
      <x:c r="Z65" s="45"/>
      <x:c r="AA65" s="471" t="str">
        <x:f t="shared" si="88"/>
        <x:v/>
      </x:c>
      <x:c r="AB65" s="471" t="str">
        <x:f t="shared" si="89"/>
        <x:v/>
      </x:c>
      <x:c r="AC65" s="471" t="str">
        <x:f t="shared" si="90"/>
        <x:v/>
      </x:c>
      <x:c r="AD65" s="471" t="str">
        <x:f t="shared" si="91"/>
        <x:v/>
      </x:c>
      <x:c r="AE65" s="46"/>
      <x:c r="AF65" s="471" t="str">
        <x:f t="shared" si="92"/>
        <x:v/>
      </x:c>
      <x:c r="AG65" s="471" t="str">
        <x:f t="shared" si="93"/>
        <x:v/>
      </x:c>
      <x:c r="AH65" s="471" t="str">
        <x:f t="shared" si="94"/>
        <x:v/>
      </x:c>
      <x:c r="AI65" s="471" t="str">
        <x:f t="shared" si="95"/>
        <x:v/>
      </x:c>
      <x:c r="AJ65" s="87"/>
      <x:c r="AK65" s="374" t="str">
        <x:f>IF($AQ65="","",IF(OR($AL65="",$AL65="도비"),"",CONCATENATE($AQ65,"-",COUNTIF($AQ$8:$AQ65,$AQ65))))</x:f>
        <x:v/>
      </x:c>
      <x:c r="AL65" s="374" t="str">
        <x:f t="shared" si="96"/>
        <x:v/>
      </x:c>
      <x:c r="AM65" s="87"/>
      <x:c r="AN65" s="375" t="str">
        <x:f>IF($AQ65="","",IF(OR($AO65="",$AO65="국비",$AO65="자체"),"",CONCATENATE($AQ65,"-",$AO65,"-",COUNTIF($AQ$8:$AQ65,$AQ65))))</x:f>
        <x:v/>
      </x:c>
      <x:c r="AO65" s="375" t="str">
        <x:f t="shared" si="97"/>
        <x:v/>
      </x:c>
      <x:c r="AP65" s="87"/>
      <x:c r="AQ65" s="374" t="str">
        <x:f t="array" ref="AQ65:AQ65">IF(OR($D65="",$C65="직접입력",$B65="직접입력"),"",INDEX(구분표!$I$2:$I$337,MATCH(1,(구분표!$G$2:$G$337='3. 일입'!$B65)*(구분표!$E$2:$E$337='3. 일입'!$C65)*(구분표!$F$2:$F$337='3. 일입'!$D65),0)))</x:f>
        <x:v/>
      </x:c>
      <x:c r="AR65" s="87"/>
      <x:c r="AS65" s="472" t="str">
        <x:f>IF($AK65="","",SUMIFS('3. 일출(의존)'!$AB$7:$AB$1989,'3. 일출(의존)'!$AN$7:$AN$1989,$AK65))</x:f>
        <x:v/>
      </x:c>
      <x:c r="AT65" s="377" t="str">
        <x:f>IF($AK65="","",COUNTIF('3. 일출(의존)'!$AN$7:$AN$1989,$AK65))</x:f>
        <x:v/>
      </x:c>
      <x:c r="AU65" s="374" t="str">
        <x:f t="shared" si="98"/>
        <x:v/>
      </x:c>
      <x:c r="AV65" s="472" t="str">
        <x:f>IF($AN65="","",IF($AO65="지역개발기금",SUMIFS('3. 일출(의존)'!$AE$8:$AE$2000,'3. 일출(의존)'!$AS$8:$AS$2000,$AN65)+SUMIFS('3. 일출(자체)'!$AE$8:$AE$2000,'3. 일출(자체)'!$AM$8:$AM$2000,$AN65),IF($AO65="지방채",SUMIFS('3. 일출(의존)'!$AD$8:$AD$2000,'3. 일출(의존)'!$AS$8:$AS$2000,$AN65)+SUMIFS('3. 일출(자체)'!$AD$8:$AD$2000,'3. 일출(자체)'!$AM$8:$AM$2000,$AN65),0)))</x:f>
        <x:v/>
      </x:c>
      <x:c r="AW65" s="377" t="str">
        <x:f>IF($AN65="","",COUNTIF('3. 일출(의존)'!$AS$8:$AS$2000,$AN65)+COUNTIF('3. 일출(자체)'!$AM$8:$AM$2000,$AN65))</x:f>
        <x:v/>
      </x:c>
      <x:c r="AX65" s="374" t="str">
        <x:f t="shared" si="99"/>
        <x:v/>
      </x:c>
      <x:c r="AY65" s="91"/>
      <x:c r="AZ65" s="472" t="str">
        <x:f>IF($AK65="","",SUMIFS('3. 일출(의존)'!$AH$8:$AH$1989,'3. 일출(의존)'!$AN$8:$AN$1989,$AK65))</x:f>
        <x:v/>
      </x:c>
      <x:c r="BA65" s="377" t="str">
        <x:f>IF($AK65="","",COUNTIF('3. 일출(의존)'!$AN$7:$AN$1989,$AK65))</x:f>
        <x:v/>
      </x:c>
      <x:c r="BB65" s="374" t="str">
        <x:f t="shared" si="100"/>
        <x:v/>
      </x:c>
      <x:c r="BC65" s="472" t="str">
        <x:f>IF($AN65="","",IF($AO65="지역개발기금",SUMIFS('3. 일출(의존)'!$AK$8:$AK$2000,'3. 일출(의존)'!$AS$8:$AS$2000,$AN65)+SUMIFS('3. 일출(자체)'!$AJ$8:$AJ$2000,'3. 일출(자체)'!$AM$8:$AM$2000,$AN65),IF($AO65="지방채",SUMIFS('3. 일출(의존)'!$AJ$8:$AJ$2000,'3. 일출(의존)'!$AS$8:$AS$2000,$AN65)+SUMIFS('3. 일출(자체)'!$AI$8:$AI$2000,'3. 일출(자체)'!$AM$8:$AM$2000,$AN65),0)))</x:f>
        <x:v/>
      </x:c>
      <x:c r="BD65" s="377" t="str">
        <x:f>IF($AN65="","",COUNTIF('3. 일출(의존)'!$AS$8:$AS$2000,$AN65)+COUNTIF('3. 일출(자체)'!$AM$8:$AM$2000,$AN65))</x:f>
        <x:v/>
      </x:c>
      <x:c r="BE65" s="374" t="str">
        <x:f t="shared" si="101"/>
        <x:v/>
      </x:c>
    </x:row>
    <x:row r="66" spans="1:57" s="20" customFormat="1" ht="80.099999999999994" customHeight="1">
      <x:c r="A66" s="155" t="str">
        <x:f>IF(D66="","",COUNTA($C$8:C66)-COUNTBLANK($C$8:C66)+4)</x:f>
        <x:v/>
      </x:c>
      <x:c r="B66" s="156" t="str">
        <x: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x:f>
        <x:v/>
      </x:c>
      <x:c r="C66" s="156" t="str">
        <x:f>IF(D66="","",IF(OR(D66="교육지원과",D66="총무과",D66="인사과"),"직접입력",VLOOKUP(D66,구분표!$A$3:$C$258,3,)))</x:f>
        <x:v/>
      </x:c>
      <x:c r="D66" s="219"/>
      <x:c r="E66" s="213"/>
      <x:c r="F66" s="388" t="str">
        <x:f t="shared" si="102"/>
        <x:v/>
      </x:c>
      <x:c r="G66" s="388" t="str">
        <x:f t="shared" si="102"/>
        <x:v/>
      </x:c>
      <x:c r="H66" s="213"/>
      <x:c r="I66" s="156" t="str">
        <x:f>IF(H66="","",VLOOKUP($H66,구분표!$O$3:$P$168,2,FALSE))</x:f>
        <x:v/>
      </x:c>
      <x:c r="J66" s="215"/>
      <x:c r="K66" s="459" t="str">
        <x:f t="shared" si="103"/>
        <x:v/>
      </x:c>
      <x:c r="L66" s="459" t="str">
        <x:f t="shared" si="104"/>
        <x:v/>
      </x:c>
      <x:c r="M66" s="461" t="str">
        <x:f t="shared" si="83"/>
        <x:v/>
      </x:c>
      <x:c r="N66" s="460"/>
      <x:c r="O66" s="461">
        <x:f t="shared" si="84"/>
        <x:v>0</x:v>
      </x:c>
      <x:c r="P66" s="462"/>
      <x:c r="Q66" s="463">
        <x:f t="shared" si="85"/>
        <x:v>0</x:v>
      </x:c>
      <x:c r="R66" s="162" t="str">
        <x:f t="shared" si="86"/>
        <x:v>X</x:v>
      </x:c>
      <x:c r="S66" s="216"/>
      <x:c r="T66" s="327"/>
      <x:c r="U66" s="217"/>
      <x:c r="V66" s="203"/>
      <x:c r="W66" s="217"/>
      <x:c r="X66" s="217"/>
      <x:c r="Y66" s="162" t="str">
        <x:f t="shared" si="87"/>
        <x:v/>
      </x:c>
      <x:c r="Z66" s="45"/>
      <x:c r="AA66" s="471" t="str">
        <x:f t="shared" si="88"/>
        <x:v/>
      </x:c>
      <x:c r="AB66" s="471" t="str">
        <x:f t="shared" si="89"/>
        <x:v/>
      </x:c>
      <x:c r="AC66" s="471" t="str">
        <x:f t="shared" si="90"/>
        <x:v/>
      </x:c>
      <x:c r="AD66" s="471" t="str">
        <x:f t="shared" si="91"/>
        <x:v/>
      </x:c>
      <x:c r="AE66" s="46"/>
      <x:c r="AF66" s="471" t="str">
        <x:f t="shared" si="92"/>
        <x:v/>
      </x:c>
      <x:c r="AG66" s="471" t="str">
        <x:f t="shared" si="93"/>
        <x:v/>
      </x:c>
      <x:c r="AH66" s="471" t="str">
        <x:f t="shared" si="94"/>
        <x:v/>
      </x:c>
      <x:c r="AI66" s="471" t="str">
        <x:f t="shared" si="95"/>
        <x:v/>
      </x:c>
      <x:c r="AJ66" s="87"/>
      <x:c r="AK66" s="374" t="str">
        <x:f>IF($AQ66="","",IF(OR($AL66="",$AL66="도비"),"",CONCATENATE($AQ66,"-",COUNTIF($AQ$8:$AQ66,$AQ66))))</x:f>
        <x:v/>
      </x:c>
      <x:c r="AL66" s="374" t="str">
        <x:f t="shared" si="96"/>
        <x:v/>
      </x:c>
      <x:c r="AM66" s="87"/>
      <x:c r="AN66" s="375" t="str">
        <x:f>IF($AQ66="","",IF(OR($AO66="",$AO66="국비",$AO66="자체"),"",CONCATENATE($AQ66,"-",$AO66,"-",COUNTIF($AQ$8:$AQ66,$AQ66))))</x:f>
        <x:v/>
      </x:c>
      <x:c r="AO66" s="375" t="str">
        <x:f t="shared" si="97"/>
        <x:v/>
      </x:c>
      <x:c r="AP66" s="87"/>
      <x:c r="AQ66" s="374" t="str">
        <x:f t="array" ref="AQ66:AQ66">IF(OR($D66="",$C66="직접입력",$B66="직접입력"),"",INDEX(구분표!$I$2:$I$337,MATCH(1,(구분표!$G$2:$G$337='3. 일입'!$B66)*(구분표!$E$2:$E$337='3. 일입'!$C66)*(구분표!$F$2:$F$337='3. 일입'!$D66),0)))</x:f>
        <x:v/>
      </x:c>
      <x:c r="AR66" s="87"/>
      <x:c r="AS66" s="472" t="str">
        <x:f>IF($AK66="","",SUMIFS('3. 일출(의존)'!$AB$7:$AB$1989,'3. 일출(의존)'!$AN$7:$AN$1989,$AK66))</x:f>
        <x:v/>
      </x:c>
      <x:c r="AT66" s="377" t="str">
        <x:f>IF($AK66="","",COUNTIF('3. 일출(의존)'!$AN$7:$AN$1989,$AK66))</x:f>
        <x:v/>
      </x:c>
      <x:c r="AU66" s="374" t="str">
        <x:f t="shared" si="98"/>
        <x:v/>
      </x:c>
      <x:c r="AV66" s="472" t="str">
        <x:f>IF($AN66="","",IF($AO66="지역개발기금",SUMIFS('3. 일출(의존)'!$AE$8:$AE$2000,'3. 일출(의존)'!$AS$8:$AS$2000,$AN66)+SUMIFS('3. 일출(자체)'!$AE$8:$AE$2000,'3. 일출(자체)'!$AM$8:$AM$2000,$AN66),IF($AO66="지방채",SUMIFS('3. 일출(의존)'!$AD$8:$AD$2000,'3. 일출(의존)'!$AS$8:$AS$2000,$AN66)+SUMIFS('3. 일출(자체)'!$AD$8:$AD$2000,'3. 일출(자체)'!$AM$8:$AM$2000,$AN66),0)))</x:f>
        <x:v/>
      </x:c>
      <x:c r="AW66" s="377" t="str">
        <x:f>IF($AN66="","",COUNTIF('3. 일출(의존)'!$AS$8:$AS$2000,$AN66)+COUNTIF('3. 일출(자체)'!$AM$8:$AM$2000,$AN66))</x:f>
        <x:v/>
      </x:c>
      <x:c r="AX66" s="374" t="str">
        <x:f t="shared" si="99"/>
        <x:v/>
      </x:c>
      <x:c r="AY66" s="91"/>
      <x:c r="AZ66" s="472" t="str">
        <x:f>IF($AK66="","",SUMIFS('3. 일출(의존)'!$AH$8:$AH$1989,'3. 일출(의존)'!$AN$8:$AN$1989,$AK66))</x:f>
        <x:v/>
      </x:c>
      <x:c r="BA66" s="377" t="str">
        <x:f>IF($AK66="","",COUNTIF('3. 일출(의존)'!$AN$7:$AN$1989,$AK66))</x:f>
        <x:v/>
      </x:c>
      <x:c r="BB66" s="374" t="str">
        <x:f t="shared" si="100"/>
        <x:v/>
      </x:c>
      <x:c r="BC66" s="472" t="str">
        <x:f>IF($AN66="","",IF($AO66="지역개발기금",SUMIFS('3. 일출(의존)'!$AK$8:$AK$2000,'3. 일출(의존)'!$AS$8:$AS$2000,$AN66)+SUMIFS('3. 일출(자체)'!$AJ$8:$AJ$2000,'3. 일출(자체)'!$AM$8:$AM$2000,$AN66),IF($AO66="지방채",SUMIFS('3. 일출(의존)'!$AJ$8:$AJ$2000,'3. 일출(의존)'!$AS$8:$AS$2000,$AN66)+SUMIFS('3. 일출(자체)'!$AI$8:$AI$2000,'3. 일출(자체)'!$AM$8:$AM$2000,$AN66),0)))</x:f>
        <x:v/>
      </x:c>
      <x:c r="BD66" s="377" t="str">
        <x:f>IF($AN66="","",COUNTIF('3. 일출(의존)'!$AS$8:$AS$2000,$AN66)+COUNTIF('3. 일출(자체)'!$AM$8:$AM$2000,$AN66))</x:f>
        <x:v/>
      </x:c>
      <x:c r="BE66" s="374" t="str">
        <x:f t="shared" si="101"/>
        <x:v/>
      </x:c>
    </x:row>
    <x:row r="67" spans="1:57" s="20" customFormat="1" ht="80.099999999999994" customHeight="1">
      <x:c r="A67" s="155" t="str">
        <x:f>IF(D67="","",COUNTA($C$8:C67)-COUNTBLANK($C$8:C67)+4)</x:f>
        <x:v/>
      </x:c>
      <x:c r="B67" s="156" t="str">
        <x: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x:f>
        <x:v/>
      </x:c>
      <x:c r="C67" s="156" t="str">
        <x:f>IF(D67="","",IF(OR(D67="교육지원과",D67="총무과",D67="인사과"),"직접입력",VLOOKUP(D67,구분표!$A$3:$C$258,3,)))</x:f>
        <x:v/>
      </x:c>
      <x:c r="D67" s="219"/>
      <x:c r="E67" s="213"/>
      <x:c r="F67" s="388" t="str">
        <x:f t="shared" si="102"/>
        <x:v/>
      </x:c>
      <x:c r="G67" s="388" t="str">
        <x:f t="shared" si="102"/>
        <x:v/>
      </x:c>
      <x:c r="H67" s="213"/>
      <x:c r="I67" s="156" t="str">
        <x:f>IF(H67="","",VLOOKUP($H67,구분표!$O$3:$P$168,2,FALSE))</x:f>
        <x:v/>
      </x:c>
      <x:c r="J67" s="215"/>
      <x:c r="K67" s="459" t="str">
        <x:f t="shared" si="103"/>
        <x:v/>
      </x:c>
      <x:c r="L67" s="459" t="str">
        <x:f t="shared" si="104"/>
        <x:v/>
      </x:c>
      <x:c r="M67" s="461" t="str">
        <x:f t="shared" si="83"/>
        <x:v/>
      </x:c>
      <x:c r="N67" s="460"/>
      <x:c r="O67" s="461">
        <x:f t="shared" si="84"/>
        <x:v>0</x:v>
      </x:c>
      <x:c r="P67" s="462"/>
      <x:c r="Q67" s="463">
        <x:f t="shared" si="85"/>
        <x:v>0</x:v>
      </x:c>
      <x:c r="R67" s="162" t="str">
        <x:f t="shared" si="86"/>
        <x:v>X</x:v>
      </x:c>
      <x:c r="S67" s="216"/>
      <x:c r="T67" s="327"/>
      <x:c r="U67" s="217"/>
      <x:c r="V67" s="203"/>
      <x:c r="W67" s="217"/>
      <x:c r="X67" s="217"/>
      <x:c r="Y67" s="162" t="str">
        <x:f t="shared" si="87"/>
        <x:v/>
      </x:c>
      <x:c r="Z67" s="45"/>
      <x:c r="AA67" s="471" t="str">
        <x:f t="shared" si="88"/>
        <x:v/>
      </x:c>
      <x:c r="AB67" s="471" t="str">
        <x:f t="shared" si="89"/>
        <x:v/>
      </x:c>
      <x:c r="AC67" s="471" t="str">
        <x:f t="shared" si="90"/>
        <x:v/>
      </x:c>
      <x:c r="AD67" s="471" t="str">
        <x:f t="shared" si="91"/>
        <x:v/>
      </x:c>
      <x:c r="AE67" s="46"/>
      <x:c r="AF67" s="471" t="str">
        <x:f t="shared" si="92"/>
        <x:v/>
      </x:c>
      <x:c r="AG67" s="471" t="str">
        <x:f t="shared" si="93"/>
        <x:v/>
      </x:c>
      <x:c r="AH67" s="471" t="str">
        <x:f t="shared" si="94"/>
        <x:v/>
      </x:c>
      <x:c r="AI67" s="471" t="str">
        <x:f t="shared" si="95"/>
        <x:v/>
      </x:c>
      <x:c r="AJ67" s="87"/>
      <x:c r="AK67" s="374" t="str">
        <x:f>IF($AQ67="","",IF(OR($AL67="",$AL67="도비"),"",CONCATENATE($AQ67,"-",COUNTIF($AQ$8:$AQ67,$AQ67))))</x:f>
        <x:v/>
      </x:c>
      <x:c r="AL67" s="374" t="str">
        <x:f t="shared" si="96"/>
        <x:v/>
      </x:c>
      <x:c r="AM67" s="87"/>
      <x:c r="AN67" s="375" t="str">
        <x:f>IF($AQ67="","",IF(OR($AO67="",$AO67="국비",$AO67="자체"),"",CONCATENATE($AQ67,"-",$AO67,"-",COUNTIF($AQ$8:$AQ67,$AQ67))))</x:f>
        <x:v/>
      </x:c>
      <x:c r="AO67" s="375" t="str">
        <x:f t="shared" si="97"/>
        <x:v/>
      </x:c>
      <x:c r="AP67" s="87"/>
      <x:c r="AQ67" s="374" t="str">
        <x:f t="array" ref="AQ67:AQ67">IF(OR($D67="",$C67="직접입력",$B67="직접입력"),"",INDEX(구분표!$I$2:$I$337,MATCH(1,(구분표!$G$2:$G$337='3. 일입'!$B67)*(구분표!$E$2:$E$337='3. 일입'!$C67)*(구분표!$F$2:$F$337='3. 일입'!$D67),0)))</x:f>
        <x:v/>
      </x:c>
      <x:c r="AR67" s="87"/>
      <x:c r="AS67" s="472" t="str">
        <x:f>IF($AK67="","",SUMIFS('3. 일출(의존)'!$AB$7:$AB$1989,'3. 일출(의존)'!$AN$7:$AN$1989,$AK67))</x:f>
        <x:v/>
      </x:c>
      <x:c r="AT67" s="377" t="str">
        <x:f>IF($AK67="","",COUNTIF('3. 일출(의존)'!$AN$7:$AN$1989,$AK67))</x:f>
        <x:v/>
      </x:c>
      <x:c r="AU67" s="374" t="str">
        <x:f t="shared" si="98"/>
        <x:v/>
      </x:c>
      <x:c r="AV67" s="472" t="str">
        <x:f>IF($AN67="","",IF($AO67="지역개발기금",SUMIFS('3. 일출(의존)'!$AE$8:$AE$2000,'3. 일출(의존)'!$AS$8:$AS$2000,$AN67)+SUMIFS('3. 일출(자체)'!$AE$8:$AE$2000,'3. 일출(자체)'!$AM$8:$AM$2000,$AN67),IF($AO67="지방채",SUMIFS('3. 일출(의존)'!$AD$8:$AD$2000,'3. 일출(의존)'!$AS$8:$AS$2000,$AN67)+SUMIFS('3. 일출(자체)'!$AD$8:$AD$2000,'3. 일출(자체)'!$AM$8:$AM$2000,$AN67),0)))</x:f>
        <x:v/>
      </x:c>
      <x:c r="AW67" s="377" t="str">
        <x:f>IF($AN67="","",COUNTIF('3. 일출(의존)'!$AS$8:$AS$2000,$AN67)+COUNTIF('3. 일출(자체)'!$AM$8:$AM$2000,$AN67))</x:f>
        <x:v/>
      </x:c>
      <x:c r="AX67" s="374" t="str">
        <x:f t="shared" si="99"/>
        <x:v/>
      </x:c>
      <x:c r="AY67" s="91"/>
      <x:c r="AZ67" s="472" t="str">
        <x:f>IF($AK67="","",SUMIFS('3. 일출(의존)'!$AH$8:$AH$1989,'3. 일출(의존)'!$AN$8:$AN$1989,$AK67))</x:f>
        <x:v/>
      </x:c>
      <x:c r="BA67" s="377" t="str">
        <x:f>IF($AK67="","",COUNTIF('3. 일출(의존)'!$AN$7:$AN$1989,$AK67))</x:f>
        <x:v/>
      </x:c>
      <x:c r="BB67" s="374" t="str">
        <x:f t="shared" si="100"/>
        <x:v/>
      </x:c>
      <x:c r="BC67" s="472" t="str">
        <x:f>IF($AN67="","",IF($AO67="지역개발기금",SUMIFS('3. 일출(의존)'!$AK$8:$AK$2000,'3. 일출(의존)'!$AS$8:$AS$2000,$AN67)+SUMIFS('3. 일출(자체)'!$AJ$8:$AJ$2000,'3. 일출(자체)'!$AM$8:$AM$2000,$AN67),IF($AO67="지방채",SUMIFS('3. 일출(의존)'!$AJ$8:$AJ$2000,'3. 일출(의존)'!$AS$8:$AS$2000,$AN67)+SUMIFS('3. 일출(자체)'!$AI$8:$AI$2000,'3. 일출(자체)'!$AM$8:$AM$2000,$AN67),0)))</x:f>
        <x:v/>
      </x:c>
      <x:c r="BD67" s="377" t="str">
        <x:f>IF($AN67="","",COUNTIF('3. 일출(의존)'!$AS$8:$AS$2000,$AN67)+COUNTIF('3. 일출(자체)'!$AM$8:$AM$2000,$AN67))</x:f>
        <x:v/>
      </x:c>
      <x:c r="BE67" s="374" t="str">
        <x:f t="shared" si="101"/>
        <x:v/>
      </x:c>
    </x:row>
    <x:row r="68" spans="1:57" s="20" customFormat="1" ht="80.099999999999994" customHeight="1">
      <x:c r="A68" s="155" t="str">
        <x:f>IF(D68="","",COUNTA($C$8:C68)-COUNTBLANK($C$8:C68)+4)</x:f>
        <x:v/>
      </x:c>
      <x:c r="B68" s="156" t="str">
        <x: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x:f>
        <x:v/>
      </x:c>
      <x:c r="C68" s="156" t="str">
        <x:f>IF(D68="","",IF(OR(D68="교육지원과",D68="총무과",D68="인사과"),"직접입력",VLOOKUP(D68,구분표!$A$3:$C$258,3,)))</x:f>
        <x:v/>
      </x:c>
      <x:c r="D68" s="219"/>
      <x:c r="E68" s="213"/>
      <x:c r="F68" s="388" t="str">
        <x:f t="shared" si="102"/>
        <x:v/>
      </x:c>
      <x:c r="G68" s="388" t="str">
        <x:f t="shared" si="102"/>
        <x:v/>
      </x:c>
      <x:c r="H68" s="213"/>
      <x:c r="I68" s="156" t="str">
        <x:f>IF(H68="","",VLOOKUP($H68,구분표!$O$3:$P$168,2,FALSE))</x:f>
        <x:v/>
      </x:c>
      <x:c r="J68" s="215"/>
      <x:c r="K68" s="459" t="str">
        <x:f t="shared" si="103"/>
        <x:v/>
      </x:c>
      <x:c r="L68" s="459" t="str">
        <x:f t="shared" si="104"/>
        <x:v/>
      </x:c>
      <x:c r="M68" s="461" t="str">
        <x:f t="shared" si="83"/>
        <x:v/>
      </x:c>
      <x:c r="N68" s="460"/>
      <x:c r="O68" s="461">
        <x:f t="shared" si="84"/>
        <x:v>0</x:v>
      </x:c>
      <x:c r="P68" s="462"/>
      <x:c r="Q68" s="463">
        <x:f t="shared" si="85"/>
        <x:v>0</x:v>
      </x:c>
      <x:c r="R68" s="162" t="str">
        <x:f t="shared" si="86"/>
        <x:v>X</x:v>
      </x:c>
      <x:c r="S68" s="216"/>
      <x:c r="T68" s="327"/>
      <x:c r="U68" s="217"/>
      <x:c r="V68" s="203"/>
      <x:c r="W68" s="217"/>
      <x:c r="X68" s="217"/>
      <x:c r="Y68" s="162" t="str">
        <x:f t="shared" si="87"/>
        <x:v/>
      </x:c>
      <x:c r="Z68" s="45"/>
      <x:c r="AA68" s="471" t="str">
        <x:f t="shared" si="88"/>
        <x:v/>
      </x:c>
      <x:c r="AB68" s="471" t="str">
        <x:f t="shared" si="89"/>
        <x:v/>
      </x:c>
      <x:c r="AC68" s="471" t="str">
        <x:f t="shared" si="90"/>
        <x:v/>
      </x:c>
      <x:c r="AD68" s="471" t="str">
        <x:f t="shared" si="91"/>
        <x:v/>
      </x:c>
      <x:c r="AE68" s="46"/>
      <x:c r="AF68" s="471" t="str">
        <x:f t="shared" si="92"/>
        <x:v/>
      </x:c>
      <x:c r="AG68" s="471" t="str">
        <x:f t="shared" si="93"/>
        <x:v/>
      </x:c>
      <x:c r="AH68" s="471" t="str">
        <x:f t="shared" si="94"/>
        <x:v/>
      </x:c>
      <x:c r="AI68" s="471" t="str">
        <x:f t="shared" si="95"/>
        <x:v/>
      </x:c>
      <x:c r="AJ68" s="87"/>
      <x:c r="AK68" s="374" t="str">
        <x:f>IF($AQ68="","",IF(OR($AL68="",$AL68="도비"),"",CONCATENATE($AQ68,"-",COUNTIF($AQ$8:$AQ68,$AQ68))))</x:f>
        <x:v/>
      </x:c>
      <x:c r="AL68" s="374" t="str">
        <x:f t="shared" si="96"/>
        <x:v/>
      </x:c>
      <x:c r="AM68" s="87"/>
      <x:c r="AN68" s="375" t="str">
        <x:f>IF($AQ68="","",IF(OR($AO68="",$AO68="국비",$AO68="자체"),"",CONCATENATE($AQ68,"-",$AO68,"-",COUNTIF($AQ$8:$AQ68,$AQ68))))</x:f>
        <x:v/>
      </x:c>
      <x:c r="AO68" s="375" t="str">
        <x:f t="shared" si="97"/>
        <x:v/>
      </x:c>
      <x:c r="AP68" s="87"/>
      <x:c r="AQ68" s="374" t="str">
        <x:f t="array" ref="AQ68:AQ68">IF(OR($D68="",$C68="직접입력",$B68="직접입력"),"",INDEX(구분표!$I$2:$I$337,MATCH(1,(구분표!$G$2:$G$337='3. 일입'!$B68)*(구분표!$E$2:$E$337='3. 일입'!$C68)*(구분표!$F$2:$F$337='3. 일입'!$D68),0)))</x:f>
        <x:v/>
      </x:c>
      <x:c r="AR68" s="87"/>
      <x:c r="AS68" s="472" t="str">
        <x:f>IF($AK68="","",SUMIFS('3. 일출(의존)'!$AB$7:$AB$1989,'3. 일출(의존)'!$AN$7:$AN$1989,$AK68))</x:f>
        <x:v/>
      </x:c>
      <x:c r="AT68" s="377" t="str">
        <x:f>IF($AK68="","",COUNTIF('3. 일출(의존)'!$AN$7:$AN$1989,$AK68))</x:f>
        <x:v/>
      </x:c>
      <x:c r="AU68" s="374" t="str">
        <x:f t="shared" si="98"/>
        <x:v/>
      </x:c>
      <x:c r="AV68" s="472" t="str">
        <x:f>IF($AN68="","",IF($AO68="지역개발기금",SUMIFS('3. 일출(의존)'!$AE$8:$AE$2000,'3. 일출(의존)'!$AS$8:$AS$2000,$AN68)+SUMIFS('3. 일출(자체)'!$AE$8:$AE$2000,'3. 일출(자체)'!$AM$8:$AM$2000,$AN68),IF($AO68="지방채",SUMIFS('3. 일출(의존)'!$AD$8:$AD$2000,'3. 일출(의존)'!$AS$8:$AS$2000,$AN68)+SUMIFS('3. 일출(자체)'!$AD$8:$AD$2000,'3. 일출(자체)'!$AM$8:$AM$2000,$AN68),0)))</x:f>
        <x:v/>
      </x:c>
      <x:c r="AW68" s="377" t="str">
        <x:f>IF($AN68="","",COUNTIF('3. 일출(의존)'!$AS$8:$AS$2000,$AN68)+COUNTIF('3. 일출(자체)'!$AM$8:$AM$2000,$AN68))</x:f>
        <x:v/>
      </x:c>
      <x:c r="AX68" s="374" t="str">
        <x:f t="shared" si="99"/>
        <x:v/>
      </x:c>
      <x:c r="AY68" s="91"/>
      <x:c r="AZ68" s="472" t="str">
        <x:f>IF($AK68="","",SUMIFS('3. 일출(의존)'!$AH$8:$AH$1989,'3. 일출(의존)'!$AN$8:$AN$1989,$AK68))</x:f>
        <x:v/>
      </x:c>
      <x:c r="BA68" s="377" t="str">
        <x:f>IF($AK68="","",COUNTIF('3. 일출(의존)'!$AN$7:$AN$1989,$AK68))</x:f>
        <x:v/>
      </x:c>
      <x:c r="BB68" s="374" t="str">
        <x:f t="shared" si="100"/>
        <x:v/>
      </x:c>
      <x:c r="BC68" s="472" t="str">
        <x:f>IF($AN68="","",IF($AO68="지역개발기금",SUMIFS('3. 일출(의존)'!$AK$8:$AK$2000,'3. 일출(의존)'!$AS$8:$AS$2000,$AN68)+SUMIFS('3. 일출(자체)'!$AJ$8:$AJ$2000,'3. 일출(자체)'!$AM$8:$AM$2000,$AN68),IF($AO68="지방채",SUMIFS('3. 일출(의존)'!$AJ$8:$AJ$2000,'3. 일출(의존)'!$AS$8:$AS$2000,$AN68)+SUMIFS('3. 일출(자체)'!$AI$8:$AI$2000,'3. 일출(자체)'!$AM$8:$AM$2000,$AN68),0)))</x:f>
        <x:v/>
      </x:c>
      <x:c r="BD68" s="377" t="str">
        <x:f>IF($AN68="","",COUNTIF('3. 일출(의존)'!$AS$8:$AS$2000,$AN68)+COUNTIF('3. 일출(자체)'!$AM$8:$AM$2000,$AN68))</x:f>
        <x:v/>
      </x:c>
      <x:c r="BE68" s="374" t="str">
        <x:f t="shared" si="101"/>
        <x:v/>
      </x:c>
    </x:row>
    <x:row r="69" spans="1:57" s="20" customFormat="1" ht="80.099999999999994" customHeight="1">
      <x:c r="A69" s="155" t="str">
        <x:f>IF(D69="","",COUNTA($C$8:C69)-COUNTBLANK($C$8:C69)+4)</x:f>
        <x:v/>
      </x:c>
      <x:c r="B69" s="156" t="str">
        <x: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x:f>
        <x:v/>
      </x:c>
      <x:c r="C69" s="156" t="str">
        <x:f>IF(D69="","",IF(OR(D69="교육지원과",D69="총무과",D69="인사과"),"직접입력",VLOOKUP(D69,구분표!$A$3:$C$258,3,)))</x:f>
        <x:v/>
      </x:c>
      <x:c r="D69" s="219"/>
      <x:c r="E69" s="213"/>
      <x:c r="F69" s="388" t="str">
        <x:f t="shared" si="102"/>
        <x:v/>
      </x:c>
      <x:c r="G69" s="388" t="str">
        <x:f t="shared" si="102"/>
        <x:v/>
      </x:c>
      <x:c r="H69" s="213"/>
      <x:c r="I69" s="156" t="str">
        <x:f>IF(H69="","",VLOOKUP($H69,구분표!$O$3:$P$168,2,FALSE))</x:f>
        <x:v/>
      </x:c>
      <x:c r="J69" s="215"/>
      <x:c r="K69" s="459" t="str">
        <x:f t="shared" si="103"/>
        <x:v/>
      </x:c>
      <x:c r="L69" s="459" t="str">
        <x:f t="shared" si="104"/>
        <x:v/>
      </x:c>
      <x:c r="M69" s="461" t="str">
        <x:f t="shared" si="83"/>
        <x:v/>
      </x:c>
      <x:c r="N69" s="460"/>
      <x:c r="O69" s="461">
        <x:f t="shared" si="84"/>
        <x:v>0</x:v>
      </x:c>
      <x:c r="P69" s="462"/>
      <x:c r="Q69" s="463">
        <x:f t="shared" si="85"/>
        <x:v>0</x:v>
      </x:c>
      <x:c r="R69" s="162" t="str">
        <x:f t="shared" si="86"/>
        <x:v>X</x:v>
      </x:c>
      <x:c r="S69" s="216"/>
      <x:c r="T69" s="327"/>
      <x:c r="U69" s="217"/>
      <x:c r="V69" s="203"/>
      <x:c r="W69" s="217"/>
      <x:c r="X69" s="217"/>
      <x:c r="Y69" s="162" t="str">
        <x:f t="shared" si="87"/>
        <x:v/>
      </x:c>
      <x:c r="Z69" s="45"/>
      <x:c r="AA69" s="471" t="str">
        <x:f t="shared" si="88"/>
        <x:v/>
      </x:c>
      <x:c r="AB69" s="471" t="str">
        <x:f t="shared" si="89"/>
        <x:v/>
      </x:c>
      <x:c r="AC69" s="471" t="str">
        <x:f t="shared" si="90"/>
        <x:v/>
      </x:c>
      <x:c r="AD69" s="471" t="str">
        <x:f t="shared" si="91"/>
        <x:v/>
      </x:c>
      <x:c r="AE69" s="46"/>
      <x:c r="AF69" s="471" t="str">
        <x:f t="shared" si="92"/>
        <x:v/>
      </x:c>
      <x:c r="AG69" s="471" t="str">
        <x:f t="shared" si="93"/>
        <x:v/>
      </x:c>
      <x:c r="AH69" s="471" t="str">
        <x:f t="shared" si="94"/>
        <x:v/>
      </x:c>
      <x:c r="AI69" s="471" t="str">
        <x:f t="shared" si="95"/>
        <x:v/>
      </x:c>
      <x:c r="AJ69" s="87"/>
      <x:c r="AK69" s="374" t="str">
        <x:f>IF($AQ69="","",IF(OR($AL69="",$AL69="도비"),"",CONCATENATE($AQ69,"-",COUNTIF($AQ$8:$AQ69,$AQ69))))</x:f>
        <x:v/>
      </x:c>
      <x:c r="AL69" s="374" t="str">
        <x:f t="shared" si="96"/>
        <x:v/>
      </x:c>
      <x:c r="AM69" s="87"/>
      <x:c r="AN69" s="375" t="str">
        <x:f>IF($AQ69="","",IF(OR($AO69="",$AO69="국비",$AO69="자체"),"",CONCATENATE($AQ69,"-",$AO69,"-",COUNTIF($AQ$8:$AQ69,$AQ69))))</x:f>
        <x:v/>
      </x:c>
      <x:c r="AO69" s="375" t="str">
        <x:f t="shared" si="97"/>
        <x:v/>
      </x:c>
      <x:c r="AP69" s="87"/>
      <x:c r="AQ69" s="374" t="str">
        <x:f t="array" ref="AQ69:AQ69">IF(OR($D69="",$C69="직접입력",$B69="직접입력"),"",INDEX(구분표!$I$2:$I$337,MATCH(1,(구분표!$G$2:$G$337='3. 일입'!$B69)*(구분표!$E$2:$E$337='3. 일입'!$C69)*(구분표!$F$2:$F$337='3. 일입'!$D69),0)))</x:f>
        <x:v/>
      </x:c>
      <x:c r="AR69" s="87"/>
      <x:c r="AS69" s="472" t="str">
        <x:f>IF($AK69="","",SUMIFS('3. 일출(의존)'!$AB$7:$AB$1989,'3. 일출(의존)'!$AN$7:$AN$1989,$AK69))</x:f>
        <x:v/>
      </x:c>
      <x:c r="AT69" s="377" t="str">
        <x:f>IF($AK69="","",COUNTIF('3. 일출(의존)'!$AN$7:$AN$1989,$AK69))</x:f>
        <x:v/>
      </x:c>
      <x:c r="AU69" s="374" t="str">
        <x:f t="shared" si="98"/>
        <x:v/>
      </x:c>
      <x:c r="AV69" s="472" t="str">
        <x:f>IF($AN69="","",IF($AO69="지역개발기금",SUMIFS('3. 일출(의존)'!$AE$8:$AE$2000,'3. 일출(의존)'!$AS$8:$AS$2000,$AN69)+SUMIFS('3. 일출(자체)'!$AE$8:$AE$2000,'3. 일출(자체)'!$AM$8:$AM$2000,$AN69),IF($AO69="지방채",SUMIFS('3. 일출(의존)'!$AD$8:$AD$2000,'3. 일출(의존)'!$AS$8:$AS$2000,$AN69)+SUMIFS('3. 일출(자체)'!$AD$8:$AD$2000,'3. 일출(자체)'!$AM$8:$AM$2000,$AN69),0)))</x:f>
        <x:v/>
      </x:c>
      <x:c r="AW69" s="377" t="str">
        <x:f>IF($AN69="","",COUNTIF('3. 일출(의존)'!$AS$8:$AS$2000,$AN69)+COUNTIF('3. 일출(자체)'!$AM$8:$AM$2000,$AN69))</x:f>
        <x:v/>
      </x:c>
      <x:c r="AX69" s="374" t="str">
        <x:f t="shared" si="99"/>
        <x:v/>
      </x:c>
      <x:c r="AY69" s="91"/>
      <x:c r="AZ69" s="472" t="str">
        <x:f>IF($AK69="","",SUMIFS('3. 일출(의존)'!$AH$8:$AH$1989,'3. 일출(의존)'!$AN$8:$AN$1989,$AK69))</x:f>
        <x:v/>
      </x:c>
      <x:c r="BA69" s="377" t="str">
        <x:f>IF($AK69="","",COUNTIF('3. 일출(의존)'!$AN$7:$AN$1989,$AK69))</x:f>
        <x:v/>
      </x:c>
      <x:c r="BB69" s="374" t="str">
        <x:f t="shared" si="100"/>
        <x:v/>
      </x:c>
      <x:c r="BC69" s="472" t="str">
        <x:f>IF($AN69="","",IF($AO69="지역개발기금",SUMIFS('3. 일출(의존)'!$AK$8:$AK$2000,'3. 일출(의존)'!$AS$8:$AS$2000,$AN69)+SUMIFS('3. 일출(자체)'!$AJ$8:$AJ$2000,'3. 일출(자체)'!$AM$8:$AM$2000,$AN69),IF($AO69="지방채",SUMIFS('3. 일출(의존)'!$AJ$8:$AJ$2000,'3. 일출(의존)'!$AS$8:$AS$2000,$AN69)+SUMIFS('3. 일출(자체)'!$AI$8:$AI$2000,'3. 일출(자체)'!$AM$8:$AM$2000,$AN69),0)))</x:f>
        <x:v/>
      </x:c>
      <x:c r="BD69" s="377" t="str">
        <x:f>IF($AN69="","",COUNTIF('3. 일출(의존)'!$AS$8:$AS$2000,$AN69)+COUNTIF('3. 일출(자체)'!$AM$8:$AM$2000,$AN69))</x:f>
        <x:v/>
      </x:c>
      <x:c r="BE69" s="374" t="str">
        <x:f t="shared" si="101"/>
        <x:v/>
      </x:c>
    </x:row>
    <x:row r="70" spans="1:57" s="20" customFormat="1" ht="80.099999999999994" customHeight="1">
      <x:c r="A70" s="155" t="str">
        <x:f>IF(D70="","",COUNTA($C$8:C70)-COUNTBLANK($C$8:C70)+4)</x:f>
        <x:v/>
      </x:c>
      <x:c r="B70" s="156" t="str">
        <x: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x:f>
        <x:v/>
      </x:c>
      <x:c r="C70" s="156" t="str">
        <x:f>IF(D70="","",IF(OR(D70="교육지원과",D70="총무과",D70="인사과"),"직접입력",VLOOKUP(D70,구분표!$A$3:$C$258,3,)))</x:f>
        <x:v/>
      </x:c>
      <x:c r="D70" s="219"/>
      <x:c r="E70" s="213"/>
      <x:c r="F70" s="388" t="str">
        <x:f t="shared" si="102"/>
        <x:v/>
      </x:c>
      <x:c r="G70" s="388" t="str">
        <x:f t="shared" si="102"/>
        <x:v/>
      </x:c>
      <x:c r="H70" s="213"/>
      <x:c r="I70" s="156" t="str">
        <x:f>IF(H70="","",VLOOKUP($H70,구분표!$O$3:$P$168,2,FALSE))</x:f>
        <x:v/>
      </x:c>
      <x:c r="J70" s="215"/>
      <x:c r="K70" s="459" t="str">
        <x:f t="shared" si="103"/>
        <x:v/>
      </x:c>
      <x:c r="L70" s="459" t="str">
        <x:f t="shared" si="104"/>
        <x:v/>
      </x:c>
      <x:c r="M70" s="461" t="str">
        <x:f t="shared" si="83"/>
        <x:v/>
      </x:c>
      <x:c r="N70" s="460"/>
      <x:c r="O70" s="461">
        <x:f t="shared" si="84"/>
        <x:v>0</x:v>
      </x:c>
      <x:c r="P70" s="462"/>
      <x:c r="Q70" s="463">
        <x:f t="shared" si="85"/>
        <x:v>0</x:v>
      </x:c>
      <x:c r="R70" s="162" t="str">
        <x:f t="shared" si="86"/>
        <x:v>X</x:v>
      </x:c>
      <x:c r="S70" s="216"/>
      <x:c r="T70" s="327"/>
      <x:c r="U70" s="217"/>
      <x:c r="V70" s="203"/>
      <x:c r="W70" s="217"/>
      <x:c r="X70" s="217"/>
      <x:c r="Y70" s="162" t="str">
        <x:f t="shared" si="87"/>
        <x:v/>
      </x:c>
      <x:c r="Z70" s="45"/>
      <x:c r="AA70" s="471" t="str">
        <x:f t="shared" si="88"/>
        <x:v/>
      </x:c>
      <x:c r="AB70" s="471" t="str">
        <x:f t="shared" si="89"/>
        <x:v/>
      </x:c>
      <x:c r="AC70" s="471" t="str">
        <x:f t="shared" si="90"/>
        <x:v/>
      </x:c>
      <x:c r="AD70" s="471" t="str">
        <x:f t="shared" si="91"/>
        <x:v/>
      </x:c>
      <x:c r="AE70" s="46"/>
      <x:c r="AF70" s="471" t="str">
        <x:f t="shared" si="92"/>
        <x:v/>
      </x:c>
      <x:c r="AG70" s="471" t="str">
        <x:f t="shared" si="93"/>
        <x:v/>
      </x:c>
      <x:c r="AH70" s="471" t="str">
        <x:f t="shared" si="94"/>
        <x:v/>
      </x:c>
      <x:c r="AI70" s="471" t="str">
        <x:f t="shared" si="95"/>
        <x:v/>
      </x:c>
      <x:c r="AJ70" s="87"/>
      <x:c r="AK70" s="374" t="str">
        <x:f>IF($AQ70="","",IF(OR($AL70="",$AL70="도비"),"",CONCATENATE($AQ70,"-",COUNTIF($AQ$8:$AQ70,$AQ70))))</x:f>
        <x:v/>
      </x:c>
      <x:c r="AL70" s="374" t="str">
        <x:f t="shared" si="96"/>
        <x:v/>
      </x:c>
      <x:c r="AM70" s="87"/>
      <x:c r="AN70" s="375" t="str">
        <x:f>IF($AQ70="","",IF(OR($AO70="",$AO70="국비",$AO70="자체"),"",CONCATENATE($AQ70,"-",$AO70,"-",COUNTIF($AQ$8:$AQ70,$AQ70))))</x:f>
        <x:v/>
      </x:c>
      <x:c r="AO70" s="375" t="str">
        <x:f t="shared" si="97"/>
        <x:v/>
      </x:c>
      <x:c r="AP70" s="87"/>
      <x:c r="AQ70" s="374" t="str">
        <x:f t="array" ref="AQ70:AQ70">IF(OR($D70="",$C70="직접입력",$B70="직접입력"),"",INDEX(구분표!$I$2:$I$337,MATCH(1,(구분표!$G$2:$G$337='3. 일입'!$B70)*(구분표!$E$2:$E$337='3. 일입'!$C70)*(구분표!$F$2:$F$337='3. 일입'!$D70),0)))</x:f>
        <x:v/>
      </x:c>
      <x:c r="AR70" s="87"/>
      <x:c r="AS70" s="472" t="str">
        <x:f>IF($AK70="","",SUMIFS('3. 일출(의존)'!$AB$7:$AB$1989,'3. 일출(의존)'!$AN$7:$AN$1989,$AK70))</x:f>
        <x:v/>
      </x:c>
      <x:c r="AT70" s="377" t="str">
        <x:f>IF($AK70="","",COUNTIF('3. 일출(의존)'!$AN$7:$AN$1989,$AK70))</x:f>
        <x:v/>
      </x:c>
      <x:c r="AU70" s="374" t="str">
        <x:f t="shared" si="98"/>
        <x:v/>
      </x:c>
      <x:c r="AV70" s="472" t="str">
        <x:f>IF($AN70="","",IF($AO70="지역개발기금",SUMIFS('3. 일출(의존)'!$AE$8:$AE$2000,'3. 일출(의존)'!$AS$8:$AS$2000,$AN70)+SUMIFS('3. 일출(자체)'!$AE$8:$AE$2000,'3. 일출(자체)'!$AM$8:$AM$2000,$AN70),IF($AO70="지방채",SUMIFS('3. 일출(의존)'!$AD$8:$AD$2000,'3. 일출(의존)'!$AS$8:$AS$2000,$AN70)+SUMIFS('3. 일출(자체)'!$AD$8:$AD$2000,'3. 일출(자체)'!$AM$8:$AM$2000,$AN70),0)))</x:f>
        <x:v/>
      </x:c>
      <x:c r="AW70" s="377" t="str">
        <x:f>IF($AN70="","",COUNTIF('3. 일출(의존)'!$AS$8:$AS$2000,$AN70)+COUNTIF('3. 일출(자체)'!$AM$8:$AM$2000,$AN70))</x:f>
        <x:v/>
      </x:c>
      <x:c r="AX70" s="374" t="str">
        <x:f t="shared" si="99"/>
        <x:v/>
      </x:c>
      <x:c r="AY70" s="91"/>
      <x:c r="AZ70" s="472" t="str">
        <x:f>IF($AK70="","",SUMIFS('3. 일출(의존)'!$AH$8:$AH$1989,'3. 일출(의존)'!$AN$8:$AN$1989,$AK70))</x:f>
        <x:v/>
      </x:c>
      <x:c r="BA70" s="377" t="str">
        <x:f>IF($AK70="","",COUNTIF('3. 일출(의존)'!$AN$7:$AN$1989,$AK70))</x:f>
        <x:v/>
      </x:c>
      <x:c r="BB70" s="374" t="str">
        <x:f t="shared" si="100"/>
        <x:v/>
      </x:c>
      <x:c r="BC70" s="472" t="str">
        <x:f>IF($AN70="","",IF($AO70="지역개발기금",SUMIFS('3. 일출(의존)'!$AK$8:$AK$2000,'3. 일출(의존)'!$AS$8:$AS$2000,$AN70)+SUMIFS('3. 일출(자체)'!$AJ$8:$AJ$2000,'3. 일출(자체)'!$AM$8:$AM$2000,$AN70),IF($AO70="지방채",SUMIFS('3. 일출(의존)'!$AJ$8:$AJ$2000,'3. 일출(의존)'!$AS$8:$AS$2000,$AN70)+SUMIFS('3. 일출(자체)'!$AI$8:$AI$2000,'3. 일출(자체)'!$AM$8:$AM$2000,$AN70),0)))</x:f>
        <x:v/>
      </x:c>
      <x:c r="BD70" s="377" t="str">
        <x:f>IF($AN70="","",COUNTIF('3. 일출(의존)'!$AS$8:$AS$2000,$AN70)+COUNTIF('3. 일출(자체)'!$AM$8:$AM$2000,$AN70))</x:f>
        <x:v/>
      </x:c>
      <x:c r="BE70" s="374" t="str">
        <x:f t="shared" si="101"/>
        <x:v/>
      </x:c>
    </x:row>
    <x:row r="71" spans="1:57" s="20" customFormat="1" ht="80.099999999999994" customHeight="1">
      <x:c r="A71" s="155" t="str">
        <x:f>IF(D71="","",COUNTA($C$8:C71)-COUNTBLANK($C$8:C71)+4)</x:f>
        <x:v/>
      </x:c>
      <x:c r="B71" s="156" t="str">
        <x:f>IF(D71="","",IF(OR(C71="직접입력",D71="북부지원"),"직접입력",IF(OR(AND(D71="인사과",C71="의회사무처"),AND(D71="총무과",C71="의회사무처")),"의회운영위원회",IF(OR(C71="직접입력",D71="북부지원"),"직접입력",IF(OR(AND(D71="인사과",C71="자치행정국"),AND(D71="총무과",C71="자치행정국")),"안전행정위원회",VLOOKUP(D71,구분표!$A$3:$C$258,2,))))))</x:f>
        <x:v/>
      </x:c>
      <x:c r="C71" s="156" t="str">
        <x:f>IF(D71="","",IF(OR(D71="교육지원과",D71="총무과",D71="인사과"),"직접입력",VLOOKUP(D71,구분표!$A$3:$C$258,3,)))</x:f>
        <x:v/>
      </x:c>
      <x:c r="D71" s="219"/>
      <x:c r="E71" s="213"/>
      <x:c r="F71" s="388" t="str">
        <x:f t="shared" si="102"/>
        <x:v/>
      </x:c>
      <x:c r="G71" s="388" t="str">
        <x:f t="shared" si="102"/>
        <x:v/>
      </x:c>
      <x:c r="H71" s="213"/>
      <x:c r="I71" s="156" t="str">
        <x:f>IF(H71="","",VLOOKUP($H71,구분표!$O$3:$P$168,2,FALSE))</x:f>
        <x:v/>
      </x:c>
      <x:c r="J71" s="215"/>
      <x:c r="K71" s="459" t="str">
        <x:f t="shared" si="103"/>
        <x:v/>
      </x:c>
      <x:c r="L71" s="459" t="str">
        <x:f t="shared" si="104"/>
        <x:v/>
      </x:c>
      <x:c r="M71" s="461" t="str">
        <x:f t="shared" si="83"/>
        <x:v/>
      </x:c>
      <x:c r="N71" s="460"/>
      <x:c r="O71" s="461">
        <x:f t="shared" si="84"/>
        <x:v>0</x:v>
      </x:c>
      <x:c r="P71" s="462"/>
      <x:c r="Q71" s="463">
        <x:f t="shared" si="85"/>
        <x:v>0</x:v>
      </x:c>
      <x:c r="R71" s="162" t="str">
        <x:f t="shared" si="86"/>
        <x:v>X</x:v>
      </x:c>
      <x:c r="S71" s="216"/>
      <x:c r="T71" s="327"/>
      <x:c r="U71" s="217"/>
      <x:c r="V71" s="203"/>
      <x:c r="W71" s="217"/>
      <x:c r="X71" s="217"/>
      <x:c r="Y71" s="162" t="str">
        <x:f t="shared" si="87"/>
        <x:v/>
      </x:c>
      <x:c r="Z71" s="45"/>
      <x:c r="AA71" s="471" t="str">
        <x:f t="shared" si="88"/>
        <x:v/>
      </x:c>
      <x:c r="AB71" s="471" t="str">
        <x:f t="shared" si="89"/>
        <x:v/>
      </x:c>
      <x:c r="AC71" s="471" t="str">
        <x:f t="shared" si="90"/>
        <x:v/>
      </x:c>
      <x:c r="AD71" s="471" t="str">
        <x:f t="shared" si="91"/>
        <x:v/>
      </x:c>
      <x:c r="AE71" s="46"/>
      <x:c r="AF71" s="471" t="str">
        <x:f t="shared" si="92"/>
        <x:v/>
      </x:c>
      <x:c r="AG71" s="471" t="str">
        <x:f t="shared" si="93"/>
        <x:v/>
      </x:c>
      <x:c r="AH71" s="471" t="str">
        <x:f t="shared" si="94"/>
        <x:v/>
      </x:c>
      <x:c r="AI71" s="471" t="str">
        <x:f t="shared" si="95"/>
        <x:v/>
      </x:c>
      <x:c r="AJ71" s="87"/>
      <x:c r="AK71" s="374" t="str">
        <x:f>IF($AQ71="","",IF(OR($AL71="",$AL71="도비"),"",CONCATENATE($AQ71,"-",COUNTIF($AQ$8:$AQ71,$AQ71))))</x:f>
        <x:v/>
      </x:c>
      <x:c r="AL71" s="374" t="str">
        <x:f t="shared" si="96"/>
        <x:v/>
      </x:c>
      <x:c r="AM71" s="87"/>
      <x:c r="AN71" s="375" t="str">
        <x:f>IF($AQ71="","",IF(OR($AO71="",$AO71="국비",$AO71="자체"),"",CONCATENATE($AQ71,"-",$AO71,"-",COUNTIF($AQ$8:$AQ71,$AQ71))))</x:f>
        <x:v/>
      </x:c>
      <x:c r="AO71" s="375" t="str">
        <x:f t="shared" si="97"/>
        <x:v/>
      </x:c>
      <x:c r="AP71" s="87"/>
      <x:c r="AQ71" s="374" t="str">
        <x:f t="array" ref="AQ71:AQ71">IF(OR($D71="",$C71="직접입력",$B71="직접입력"),"",INDEX(구분표!$I$2:$I$337,MATCH(1,(구분표!$G$2:$G$337='3. 일입'!$B71)*(구분표!$E$2:$E$337='3. 일입'!$C71)*(구분표!$F$2:$F$337='3. 일입'!$D71),0)))</x:f>
        <x:v/>
      </x:c>
      <x:c r="AR71" s="87"/>
      <x:c r="AS71" s="472" t="str">
        <x:f>IF($AK71="","",SUMIFS('3. 일출(의존)'!$AB$7:$AB$1989,'3. 일출(의존)'!$AN$7:$AN$1989,$AK71))</x:f>
        <x:v/>
      </x:c>
      <x:c r="AT71" s="377" t="str">
        <x:f>IF($AK71="","",COUNTIF('3. 일출(의존)'!$AN$7:$AN$1989,$AK71))</x:f>
        <x:v/>
      </x:c>
      <x:c r="AU71" s="374" t="str">
        <x:f t="shared" si="98"/>
        <x:v/>
      </x:c>
      <x:c r="AV71" s="472" t="str">
        <x:f>IF($AN71="","",IF($AO71="지역개발기금",SUMIFS('3. 일출(의존)'!$AE$8:$AE$2000,'3. 일출(의존)'!$AS$8:$AS$2000,$AN71)+SUMIFS('3. 일출(자체)'!$AE$8:$AE$2000,'3. 일출(자체)'!$AM$8:$AM$2000,$AN71),IF($AO71="지방채",SUMIFS('3. 일출(의존)'!$AD$8:$AD$2000,'3. 일출(의존)'!$AS$8:$AS$2000,$AN71)+SUMIFS('3. 일출(자체)'!$AD$8:$AD$2000,'3. 일출(자체)'!$AM$8:$AM$2000,$AN71),0)))</x:f>
        <x:v/>
      </x:c>
      <x:c r="AW71" s="377" t="str">
        <x:f>IF($AN71="","",COUNTIF('3. 일출(의존)'!$AS$8:$AS$2000,$AN71)+COUNTIF('3. 일출(자체)'!$AM$8:$AM$2000,$AN71))</x:f>
        <x:v/>
      </x:c>
      <x:c r="AX71" s="374" t="str">
        <x:f t="shared" si="99"/>
        <x:v/>
      </x:c>
      <x:c r="AY71" s="91"/>
      <x:c r="AZ71" s="472" t="str">
        <x:f>IF($AK71="","",SUMIFS('3. 일출(의존)'!$AH$8:$AH$1989,'3. 일출(의존)'!$AN$8:$AN$1989,$AK71))</x:f>
        <x:v/>
      </x:c>
      <x:c r="BA71" s="377" t="str">
        <x:f>IF($AK71="","",COUNTIF('3. 일출(의존)'!$AN$7:$AN$1989,$AK71))</x:f>
        <x:v/>
      </x:c>
      <x:c r="BB71" s="374" t="str">
        <x:f t="shared" si="100"/>
        <x:v/>
      </x:c>
      <x:c r="BC71" s="472" t="str">
        <x:f>IF($AN71="","",IF($AO71="지역개발기금",SUMIFS('3. 일출(의존)'!$AK$8:$AK$2000,'3. 일출(의존)'!$AS$8:$AS$2000,$AN71)+SUMIFS('3. 일출(자체)'!$AJ$8:$AJ$2000,'3. 일출(자체)'!$AM$8:$AM$2000,$AN71),IF($AO71="지방채",SUMIFS('3. 일출(의존)'!$AJ$8:$AJ$2000,'3. 일출(의존)'!$AS$8:$AS$2000,$AN71)+SUMIFS('3. 일출(자체)'!$AI$8:$AI$2000,'3. 일출(자체)'!$AM$8:$AM$2000,$AN71),0)))</x:f>
        <x:v/>
      </x:c>
      <x:c r="BD71" s="377" t="str">
        <x:f>IF($AN71="","",COUNTIF('3. 일출(의존)'!$AS$8:$AS$2000,$AN71)+COUNTIF('3. 일출(자체)'!$AM$8:$AM$2000,$AN71))</x:f>
        <x:v/>
      </x:c>
      <x:c r="BE71" s="374" t="str">
        <x:f t="shared" si="101"/>
        <x:v/>
      </x:c>
    </x:row>
    <x:row r="72" spans="1:57" s="20" customFormat="1" ht="80.099999999999994" customHeight="1">
      <x:c r="A72" s="155" t="str">
        <x:f>IF(D72="","",COUNTA($C$8:C72)-COUNTBLANK($C$8:C72)+4)</x:f>
        <x:v/>
      </x:c>
      <x:c r="B72" s="156" t="str">
        <x: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x:f>
        <x:v/>
      </x:c>
      <x:c r="C72" s="156" t="str">
        <x:f>IF(D72="","",IF(OR(D72="교육지원과",D72="총무과",D72="인사과"),"직접입력",VLOOKUP(D72,구분표!$A$3:$C$258,3,)))</x:f>
        <x:v/>
      </x:c>
      <x:c r="D72" s="219"/>
      <x:c r="E72" s="213"/>
      <x:c r="F72" s="388" t="str">
        <x:f t="shared" si="102"/>
        <x:v/>
      </x:c>
      <x:c r="G72" s="388" t="str">
        <x:f t="shared" si="102"/>
        <x:v/>
      </x:c>
      <x:c r="H72" s="213"/>
      <x:c r="I72" s="156" t="str">
        <x:f>IF(H72="","",VLOOKUP($H72,구분표!$O$3:$P$168,2,FALSE))</x:f>
        <x:v/>
      </x:c>
      <x:c r="J72" s="215"/>
      <x:c r="K72" s="459" t="str">
        <x:f t="shared" si="103"/>
        <x:v/>
      </x:c>
      <x:c r="L72" s="459" t="str">
        <x:f t="shared" si="104"/>
        <x:v/>
      </x:c>
      <x:c r="M72" s="461" t="str">
        <x:f t="shared" si="83"/>
        <x:v/>
      </x:c>
      <x:c r="N72" s="460"/>
      <x:c r="O72" s="461">
        <x:f t="shared" si="84"/>
        <x:v>0</x:v>
      </x:c>
      <x:c r="P72" s="462"/>
      <x:c r="Q72" s="463">
        <x:f t="shared" si="85"/>
        <x:v>0</x:v>
      </x:c>
      <x:c r="R72" s="162" t="str">
        <x:f t="shared" si="86"/>
        <x:v>X</x:v>
      </x:c>
      <x:c r="S72" s="216"/>
      <x:c r="T72" s="327"/>
      <x:c r="U72" s="217"/>
      <x:c r="V72" s="203"/>
      <x:c r="W72" s="217"/>
      <x:c r="X72" s="217"/>
      <x:c r="Y72" s="162" t="str">
        <x:f t="shared" si="87"/>
        <x:v/>
      </x:c>
      <x:c r="Z72" s="45"/>
      <x:c r="AA72" s="471" t="str">
        <x:f t="shared" si="88"/>
        <x:v/>
      </x:c>
      <x:c r="AB72" s="471" t="str">
        <x:f t="shared" si="89"/>
        <x:v/>
      </x:c>
      <x:c r="AC72" s="471" t="str">
        <x:f t="shared" si="90"/>
        <x:v/>
      </x:c>
      <x:c r="AD72" s="471" t="str">
        <x:f t="shared" si="91"/>
        <x:v/>
      </x:c>
      <x:c r="AE72" s="46"/>
      <x:c r="AF72" s="471" t="str">
        <x:f t="shared" si="92"/>
        <x:v/>
      </x:c>
      <x:c r="AG72" s="471" t="str">
        <x:f t="shared" si="93"/>
        <x:v/>
      </x:c>
      <x:c r="AH72" s="471" t="str">
        <x:f t="shared" si="94"/>
        <x:v/>
      </x:c>
      <x:c r="AI72" s="471" t="str">
        <x:f t="shared" si="95"/>
        <x:v/>
      </x:c>
      <x:c r="AJ72" s="87"/>
      <x:c r="AK72" s="374" t="str">
        <x:f>IF($AQ72="","",IF(OR($AL72="",$AL72="도비"),"",CONCATENATE($AQ72,"-",COUNTIF($AQ$8:$AQ72,$AQ72))))</x:f>
        <x:v/>
      </x:c>
      <x:c r="AL72" s="374" t="str">
        <x:f t="shared" si="96"/>
        <x:v/>
      </x:c>
      <x:c r="AM72" s="87"/>
      <x:c r="AN72" s="375" t="str">
        <x:f>IF($AQ72="","",IF(OR($AO72="",$AO72="국비",$AO72="자체"),"",CONCATENATE($AQ72,"-",$AO72,"-",COUNTIF($AQ$8:$AQ72,$AQ72))))</x:f>
        <x:v/>
      </x:c>
      <x:c r="AO72" s="375" t="str">
        <x:f t="shared" si="97"/>
        <x:v/>
      </x:c>
      <x:c r="AP72" s="87"/>
      <x:c r="AQ72" s="374" t="str">
        <x:f t="array" ref="AQ72:AQ72">IF(OR($D72="",$C72="직접입력",$B72="직접입력"),"",INDEX(구분표!$I$2:$I$337,MATCH(1,(구분표!$G$2:$G$337='3. 일입'!$B72)*(구분표!$E$2:$E$337='3. 일입'!$C72)*(구분표!$F$2:$F$337='3. 일입'!$D72),0)))</x:f>
        <x:v/>
      </x:c>
      <x:c r="AR72" s="87"/>
      <x:c r="AS72" s="472" t="str">
        <x:f>IF($AK72="","",SUMIFS('3. 일출(의존)'!$AB$7:$AB$1989,'3. 일출(의존)'!$AN$7:$AN$1989,$AK72))</x:f>
        <x:v/>
      </x:c>
      <x:c r="AT72" s="377" t="str">
        <x:f>IF($AK72="","",COUNTIF('3. 일출(의존)'!$AN$7:$AN$1989,$AK72))</x:f>
        <x:v/>
      </x:c>
      <x:c r="AU72" s="374" t="str">
        <x:f t="shared" si="98"/>
        <x:v/>
      </x:c>
      <x:c r="AV72" s="472" t="str">
        <x:f>IF($AN72="","",IF($AO72="지역개발기금",SUMIFS('3. 일출(의존)'!$AE$8:$AE$2000,'3. 일출(의존)'!$AS$8:$AS$2000,$AN72)+SUMIFS('3. 일출(자체)'!$AE$8:$AE$2000,'3. 일출(자체)'!$AM$8:$AM$2000,$AN72),IF($AO72="지방채",SUMIFS('3. 일출(의존)'!$AD$8:$AD$2000,'3. 일출(의존)'!$AS$8:$AS$2000,$AN72)+SUMIFS('3. 일출(자체)'!$AD$8:$AD$2000,'3. 일출(자체)'!$AM$8:$AM$2000,$AN72),0)))</x:f>
        <x:v/>
      </x:c>
      <x:c r="AW72" s="377" t="str">
        <x:f>IF($AN72="","",COUNTIF('3. 일출(의존)'!$AS$8:$AS$2000,$AN72)+COUNTIF('3. 일출(자체)'!$AM$8:$AM$2000,$AN72))</x:f>
        <x:v/>
      </x:c>
      <x:c r="AX72" s="374" t="str">
        <x:f t="shared" si="99"/>
        <x:v/>
      </x:c>
      <x:c r="AY72" s="91"/>
      <x:c r="AZ72" s="472" t="str">
        <x:f>IF($AK72="","",SUMIFS('3. 일출(의존)'!$AH$8:$AH$1989,'3. 일출(의존)'!$AN$8:$AN$1989,$AK72))</x:f>
        <x:v/>
      </x:c>
      <x:c r="BA72" s="377" t="str">
        <x:f>IF($AK72="","",COUNTIF('3. 일출(의존)'!$AN$7:$AN$1989,$AK72))</x:f>
        <x:v/>
      </x:c>
      <x:c r="BB72" s="374" t="str">
        <x:f t="shared" si="100"/>
        <x:v/>
      </x:c>
      <x:c r="BC72" s="472" t="str">
        <x:f>IF($AN72="","",IF($AO72="지역개발기금",SUMIFS('3. 일출(의존)'!$AK$8:$AK$2000,'3. 일출(의존)'!$AS$8:$AS$2000,$AN72)+SUMIFS('3. 일출(자체)'!$AJ$8:$AJ$2000,'3. 일출(자체)'!$AM$8:$AM$2000,$AN72),IF($AO72="지방채",SUMIFS('3. 일출(의존)'!$AJ$8:$AJ$2000,'3. 일출(의존)'!$AS$8:$AS$2000,$AN72)+SUMIFS('3. 일출(자체)'!$AI$8:$AI$2000,'3. 일출(자체)'!$AM$8:$AM$2000,$AN72),0)))</x:f>
        <x:v/>
      </x:c>
      <x:c r="BD72" s="377" t="str">
        <x:f>IF($AN72="","",COUNTIF('3. 일출(의존)'!$AS$8:$AS$2000,$AN72)+COUNTIF('3. 일출(자체)'!$AM$8:$AM$2000,$AN72))</x:f>
        <x:v/>
      </x:c>
      <x:c r="BE72" s="374" t="str">
        <x:f t="shared" si="101"/>
        <x:v/>
      </x:c>
    </x:row>
    <x:row r="73" spans="1:57" s="20" customFormat="1" ht="80.099999999999994" customHeight="1">
      <x:c r="A73" s="155" t="str">
        <x:f>IF(D73="","",COUNTA($C$8:C73)-COUNTBLANK($C$8:C73)+4)</x:f>
        <x:v/>
      </x:c>
      <x:c r="B73" s="156" t="str">
        <x: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x:f>
        <x:v/>
      </x:c>
      <x:c r="C73" s="156" t="str">
        <x:f>IF(D73="","",IF(OR(D73="교육지원과",D73="총무과",D73="인사과"),"직접입력",VLOOKUP(D73,구분표!$A$3:$C$258,3,)))</x:f>
        <x:v/>
      </x:c>
      <x:c r="D73" s="219"/>
      <x:c r="E73" s="213"/>
      <x:c r="F73" s="388" t="str">
        <x:f t="shared" si="102"/>
        <x:v/>
      </x:c>
      <x:c r="G73" s="388" t="str">
        <x:f t="shared" si="102"/>
        <x:v/>
      </x:c>
      <x:c r="H73" s="213"/>
      <x:c r="I73" s="156" t="str">
        <x:f>IF(H73="","",VLOOKUP($H73,구분표!$O$3:$P$168,2,FALSE))</x:f>
        <x:v/>
      </x:c>
      <x:c r="J73" s="215"/>
      <x:c r="K73" s="459" t="str">
        <x:f t="shared" si="103"/>
        <x:v/>
      </x:c>
      <x:c r="L73" s="459" t="str">
        <x:f t="shared" si="104"/>
        <x:v/>
      </x:c>
      <x:c r="M73" s="461" t="str">
        <x:f t="shared" si="83"/>
        <x:v/>
      </x:c>
      <x:c r="N73" s="460"/>
      <x:c r="O73" s="461">
        <x:f t="shared" si="84"/>
        <x:v>0</x:v>
      </x:c>
      <x:c r="P73" s="462"/>
      <x:c r="Q73" s="463">
        <x:f t="shared" si="85"/>
        <x:v>0</x:v>
      </x:c>
      <x:c r="R73" s="162" t="str">
        <x:f t="shared" si="86"/>
        <x:v>X</x:v>
      </x:c>
      <x:c r="S73" s="216"/>
      <x:c r="T73" s="327"/>
      <x:c r="U73" s="217"/>
      <x:c r="V73" s="203"/>
      <x:c r="W73" s="217"/>
      <x:c r="X73" s="217"/>
      <x:c r="Y73" s="162" t="str">
        <x:f t="shared" si="87"/>
        <x:v/>
      </x:c>
      <x:c r="Z73" s="45"/>
      <x:c r="AA73" s="471" t="str">
        <x:f t="shared" si="88"/>
        <x:v/>
      </x:c>
      <x:c r="AB73" s="471" t="str">
        <x:f t="shared" si="89"/>
        <x:v/>
      </x:c>
      <x:c r="AC73" s="471" t="str">
        <x:f t="shared" si="90"/>
        <x:v/>
      </x:c>
      <x:c r="AD73" s="471" t="str">
        <x:f t="shared" si="91"/>
        <x:v/>
      </x:c>
      <x:c r="AE73" s="46"/>
      <x:c r="AF73" s="471" t="str">
        <x:f t="shared" si="92"/>
        <x:v/>
      </x:c>
      <x:c r="AG73" s="471" t="str">
        <x:f t="shared" si="93"/>
        <x:v/>
      </x:c>
      <x:c r="AH73" s="471" t="str">
        <x:f t="shared" si="94"/>
        <x:v/>
      </x:c>
      <x:c r="AI73" s="471" t="str">
        <x:f t="shared" si="95"/>
        <x:v/>
      </x:c>
      <x:c r="AJ73" s="87"/>
      <x:c r="AK73" s="374" t="str">
        <x:f>IF($AQ73="","",IF(OR($AL73="",$AL73="도비"),"",CONCATENATE($AQ73,"-",COUNTIF($AQ$8:$AQ73,$AQ73))))</x:f>
        <x:v/>
      </x:c>
      <x:c r="AL73" s="374" t="str">
        <x:f t="shared" si="96"/>
        <x:v/>
      </x:c>
      <x:c r="AM73" s="87"/>
      <x:c r="AN73" s="375" t="str">
        <x:f>IF($AQ73="","",IF(OR($AO73="",$AO73="국비",$AO73="자체"),"",CONCATENATE($AQ73,"-",$AO73,"-",COUNTIF($AQ$8:$AQ73,$AQ73))))</x:f>
        <x:v/>
      </x:c>
      <x:c r="AO73" s="375" t="str">
        <x:f t="shared" si="97"/>
        <x:v/>
      </x:c>
      <x:c r="AP73" s="87"/>
      <x:c r="AQ73" s="374" t="str">
        <x:f t="array" ref="AQ73:AQ73">IF(OR($D73="",$C73="직접입력",$B73="직접입력"),"",INDEX(구분표!$I$2:$I$337,MATCH(1,(구분표!$G$2:$G$337='3. 일입'!$B73)*(구분표!$E$2:$E$337='3. 일입'!$C73)*(구분표!$F$2:$F$337='3. 일입'!$D73),0)))</x:f>
        <x:v/>
      </x:c>
      <x:c r="AR73" s="87"/>
      <x:c r="AS73" s="472" t="str">
        <x:f>IF($AK73="","",SUMIFS('3. 일출(의존)'!$AB$7:$AB$1989,'3. 일출(의존)'!$AN$7:$AN$1989,$AK73))</x:f>
        <x:v/>
      </x:c>
      <x:c r="AT73" s="377" t="str">
        <x:f>IF($AK73="","",COUNTIF('3. 일출(의존)'!$AN$7:$AN$1989,$AK73))</x:f>
        <x:v/>
      </x:c>
      <x:c r="AU73" s="374" t="str">
        <x:f t="shared" si="98"/>
        <x:v/>
      </x:c>
      <x:c r="AV73" s="472" t="str">
        <x:f>IF($AN73="","",IF($AO73="지역개발기금",SUMIFS('3. 일출(의존)'!$AE$8:$AE$2000,'3. 일출(의존)'!$AS$8:$AS$2000,$AN73)+SUMIFS('3. 일출(자체)'!$AE$8:$AE$2000,'3. 일출(자체)'!$AM$8:$AM$2000,$AN73),IF($AO73="지방채",SUMIFS('3. 일출(의존)'!$AD$8:$AD$2000,'3. 일출(의존)'!$AS$8:$AS$2000,$AN73)+SUMIFS('3. 일출(자체)'!$AD$8:$AD$2000,'3. 일출(자체)'!$AM$8:$AM$2000,$AN73),0)))</x:f>
        <x:v/>
      </x:c>
      <x:c r="AW73" s="377" t="str">
        <x:f>IF($AN73="","",COUNTIF('3. 일출(의존)'!$AS$8:$AS$2000,$AN73)+COUNTIF('3. 일출(자체)'!$AM$8:$AM$2000,$AN73))</x:f>
        <x:v/>
      </x:c>
      <x:c r="AX73" s="374" t="str">
        <x:f t="shared" si="99"/>
        <x:v/>
      </x:c>
      <x:c r="AY73" s="91"/>
      <x:c r="AZ73" s="472" t="str">
        <x:f>IF($AK73="","",SUMIFS('3. 일출(의존)'!$AH$8:$AH$1989,'3. 일출(의존)'!$AN$8:$AN$1989,$AK73))</x:f>
        <x:v/>
      </x:c>
      <x:c r="BA73" s="377" t="str">
        <x:f>IF($AK73="","",COUNTIF('3. 일출(의존)'!$AN$7:$AN$1989,$AK73))</x:f>
        <x:v/>
      </x:c>
      <x:c r="BB73" s="374" t="str">
        <x:f t="shared" si="100"/>
        <x:v/>
      </x:c>
      <x:c r="BC73" s="472" t="str">
        <x:f>IF($AN73="","",IF($AO73="지역개발기금",SUMIFS('3. 일출(의존)'!$AK$8:$AK$2000,'3. 일출(의존)'!$AS$8:$AS$2000,$AN73)+SUMIFS('3. 일출(자체)'!$AJ$8:$AJ$2000,'3. 일출(자체)'!$AM$8:$AM$2000,$AN73),IF($AO73="지방채",SUMIFS('3. 일출(의존)'!$AJ$8:$AJ$2000,'3. 일출(의존)'!$AS$8:$AS$2000,$AN73)+SUMIFS('3. 일출(자체)'!$AI$8:$AI$2000,'3. 일출(자체)'!$AM$8:$AM$2000,$AN73),0)))</x:f>
        <x:v/>
      </x:c>
      <x:c r="BD73" s="377" t="str">
        <x:f>IF($AN73="","",COUNTIF('3. 일출(의존)'!$AS$8:$AS$2000,$AN73)+COUNTIF('3. 일출(자체)'!$AM$8:$AM$2000,$AN73))</x:f>
        <x:v/>
      </x:c>
      <x:c r="BE73" s="374" t="str">
        <x:f t="shared" si="101"/>
        <x:v/>
      </x:c>
    </x:row>
    <x:row r="74" spans="1:57" s="20" customFormat="1" ht="80.099999999999994" customHeight="1">
      <x:c r="A74" s="155" t="str">
        <x:f>IF(D74="","",COUNTA($C$8:C74)-COUNTBLANK($C$8:C74)+4)</x:f>
        <x:v/>
      </x:c>
      <x:c r="B74" s="156" t="str">
        <x: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x:f>
        <x:v/>
      </x:c>
      <x:c r="C74" s="156" t="str">
        <x:f>IF(D74="","",IF(OR(D74="교육지원과",D74="총무과",D74="인사과"),"직접입력",VLOOKUP(D74,구분표!$A$3:$C$258,3,)))</x:f>
        <x:v/>
      </x:c>
      <x:c r="D74" s="219"/>
      <x:c r="E74" s="213"/>
      <x:c r="F74" s="388" t="str">
        <x:f t="shared" si="102"/>
        <x:v/>
      </x:c>
      <x:c r="G74" s="388" t="str">
        <x:f t="shared" si="102"/>
        <x:v/>
      </x:c>
      <x:c r="H74" s="213"/>
      <x:c r="I74" s="156" t="str">
        <x:f>IF(H74="","",VLOOKUP($H74,구분표!$O$3:$P$168,2,FALSE))</x:f>
        <x:v/>
      </x:c>
      <x:c r="J74" s="215"/>
      <x:c r="K74" s="459" t="str">
        <x:f t="shared" si="103"/>
        <x:v/>
      </x:c>
      <x:c r="L74" s="459" t="str">
        <x:f t="shared" si="104"/>
        <x:v/>
      </x:c>
      <x:c r="M74" s="461" t="str">
        <x:f t="shared" si="83"/>
        <x:v/>
      </x:c>
      <x:c r="N74" s="460"/>
      <x:c r="O74" s="461">
        <x:f t="shared" si="84"/>
        <x:v>0</x:v>
      </x:c>
      <x:c r="P74" s="462"/>
      <x:c r="Q74" s="463">
        <x:f t="shared" si="85"/>
        <x:v>0</x:v>
      </x:c>
      <x:c r="R74" s="162" t="str">
        <x:f t="shared" si="86"/>
        <x:v>X</x:v>
      </x:c>
      <x:c r="S74" s="216"/>
      <x:c r="T74" s="327"/>
      <x:c r="U74" s="217"/>
      <x:c r="V74" s="203"/>
      <x:c r="W74" s="217"/>
      <x:c r="X74" s="217"/>
      <x:c r="Y74" s="162" t="str">
        <x:f t="shared" si="87"/>
        <x:v/>
      </x:c>
      <x:c r="Z74" s="45"/>
      <x:c r="AA74" s="471" t="str">
        <x:f t="shared" si="88"/>
        <x:v/>
      </x:c>
      <x:c r="AB74" s="471" t="str">
        <x:f t="shared" si="89"/>
        <x:v/>
      </x:c>
      <x:c r="AC74" s="471" t="str">
        <x:f t="shared" si="90"/>
        <x:v/>
      </x:c>
      <x:c r="AD74" s="471" t="str">
        <x:f t="shared" si="91"/>
        <x:v/>
      </x:c>
      <x:c r="AE74" s="46"/>
      <x:c r="AF74" s="471" t="str">
        <x:f t="shared" si="92"/>
        <x:v/>
      </x:c>
      <x:c r="AG74" s="471" t="str">
        <x:f t="shared" si="93"/>
        <x:v/>
      </x:c>
      <x:c r="AH74" s="471" t="str">
        <x:f t="shared" si="94"/>
        <x:v/>
      </x:c>
      <x:c r="AI74" s="471" t="str">
        <x:f t="shared" si="95"/>
        <x:v/>
      </x:c>
      <x:c r="AJ74" s="87"/>
      <x:c r="AK74" s="374" t="str">
        <x:f>IF($AQ74="","",IF(OR($AL74="",$AL74="도비"),"",CONCATENATE($AQ74,"-",COUNTIF($AQ$8:$AQ74,$AQ74))))</x:f>
        <x:v/>
      </x:c>
      <x:c r="AL74" s="374" t="str">
        <x:f t="shared" si="96"/>
        <x:v/>
      </x:c>
      <x:c r="AM74" s="87"/>
      <x:c r="AN74" s="375" t="str">
        <x:f>IF($AQ74="","",IF(OR($AO74="",$AO74="국비",$AO74="자체"),"",CONCATENATE($AQ74,"-",$AO74,"-",COUNTIF($AQ$8:$AQ74,$AQ74))))</x:f>
        <x:v/>
      </x:c>
      <x:c r="AO74" s="375" t="str">
        <x:f t="shared" si="97"/>
        <x:v/>
      </x:c>
      <x:c r="AP74" s="87"/>
      <x:c r="AQ74" s="374" t="str">
        <x:f t="array" ref="AQ74:AQ74">IF(OR($D74="",$C74="직접입력",$B74="직접입력"),"",INDEX(구분표!$I$2:$I$337,MATCH(1,(구분표!$G$2:$G$337='3. 일입'!$B74)*(구분표!$E$2:$E$337='3. 일입'!$C74)*(구분표!$F$2:$F$337='3. 일입'!$D74),0)))</x:f>
        <x:v/>
      </x:c>
      <x:c r="AR74" s="87"/>
      <x:c r="AS74" s="472" t="str">
        <x:f>IF($AK74="","",SUMIFS('3. 일출(의존)'!$AB$7:$AB$1989,'3. 일출(의존)'!$AN$7:$AN$1989,$AK74))</x:f>
        <x:v/>
      </x:c>
      <x:c r="AT74" s="377" t="str">
        <x:f>IF($AK74="","",COUNTIF('3. 일출(의존)'!$AN$7:$AN$1989,$AK74))</x:f>
        <x:v/>
      </x:c>
      <x:c r="AU74" s="374" t="str">
        <x:f t="shared" si="98"/>
        <x:v/>
      </x:c>
      <x:c r="AV74" s="472" t="str">
        <x:f>IF($AN74="","",IF($AO74="지역개발기금",SUMIFS('3. 일출(의존)'!$AE$8:$AE$2000,'3. 일출(의존)'!$AS$8:$AS$2000,$AN74)+SUMIFS('3. 일출(자체)'!$AE$8:$AE$2000,'3. 일출(자체)'!$AM$8:$AM$2000,$AN74),IF($AO74="지방채",SUMIFS('3. 일출(의존)'!$AD$8:$AD$2000,'3. 일출(의존)'!$AS$8:$AS$2000,$AN74)+SUMIFS('3. 일출(자체)'!$AD$8:$AD$2000,'3. 일출(자체)'!$AM$8:$AM$2000,$AN74),0)))</x:f>
        <x:v/>
      </x:c>
      <x:c r="AW74" s="377" t="str">
        <x:f>IF($AN74="","",COUNTIF('3. 일출(의존)'!$AS$8:$AS$2000,$AN74)+COUNTIF('3. 일출(자체)'!$AM$8:$AM$2000,$AN74))</x:f>
        <x:v/>
      </x:c>
      <x:c r="AX74" s="374" t="str">
        <x:f t="shared" si="99"/>
        <x:v/>
      </x:c>
      <x:c r="AY74" s="91"/>
      <x:c r="AZ74" s="472" t="str">
        <x:f>IF($AK74="","",SUMIFS('3. 일출(의존)'!$AH$8:$AH$1989,'3. 일출(의존)'!$AN$8:$AN$1989,$AK74))</x:f>
        <x:v/>
      </x:c>
      <x:c r="BA74" s="377" t="str">
        <x:f>IF($AK74="","",COUNTIF('3. 일출(의존)'!$AN$7:$AN$1989,$AK74))</x:f>
        <x:v/>
      </x:c>
      <x:c r="BB74" s="374" t="str">
        <x:f t="shared" si="100"/>
        <x:v/>
      </x:c>
      <x:c r="BC74" s="472" t="str">
        <x:f>IF($AN74="","",IF($AO74="지역개발기금",SUMIFS('3. 일출(의존)'!$AK$8:$AK$2000,'3. 일출(의존)'!$AS$8:$AS$2000,$AN74)+SUMIFS('3. 일출(자체)'!$AJ$8:$AJ$2000,'3. 일출(자체)'!$AM$8:$AM$2000,$AN74),IF($AO74="지방채",SUMIFS('3. 일출(의존)'!$AJ$8:$AJ$2000,'3. 일출(의존)'!$AS$8:$AS$2000,$AN74)+SUMIFS('3. 일출(자체)'!$AI$8:$AI$2000,'3. 일출(자체)'!$AM$8:$AM$2000,$AN74),0)))</x:f>
        <x:v/>
      </x:c>
      <x:c r="BD74" s="377" t="str">
        <x:f>IF($AN74="","",COUNTIF('3. 일출(의존)'!$AS$8:$AS$2000,$AN74)+COUNTIF('3. 일출(자체)'!$AM$8:$AM$2000,$AN74))</x:f>
        <x:v/>
      </x:c>
      <x:c r="BE74" s="374" t="str">
        <x:f t="shared" si="101"/>
        <x:v/>
      </x:c>
    </x:row>
    <x:row r="75" spans="1:57" s="20" customFormat="1" ht="80.099999999999994" customHeight="1">
      <x:c r="A75" s="155" t="str">
        <x:f>IF(D75="","",COUNTA($C$8:C75)-COUNTBLANK($C$8:C75)+4)</x:f>
        <x:v/>
      </x:c>
      <x:c r="B75" s="156" t="str">
        <x: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x:f>
        <x:v/>
      </x:c>
      <x:c r="C75" s="156" t="str">
        <x:f>IF(D75="","",IF(OR(D75="교육지원과",D75="총무과",D75="인사과"),"직접입력",VLOOKUP(D75,구분표!$A$3:$C$258,3,)))</x:f>
        <x:v/>
      </x:c>
      <x:c r="D75" s="219"/>
      <x:c r="E75" s="213"/>
      <x:c r="F75" s="388" t="str">
        <x:f t="shared" si="102"/>
        <x:v/>
      </x:c>
      <x:c r="G75" s="388" t="str">
        <x:f t="shared" si="102"/>
        <x:v/>
      </x:c>
      <x:c r="H75" s="213"/>
      <x:c r="I75" s="156" t="str">
        <x:f>IF(H75="","",VLOOKUP($H75,구분표!$O$3:$P$168,2,FALSE))</x:f>
        <x:v/>
      </x:c>
      <x:c r="J75" s="215"/>
      <x:c r="K75" s="459" t="str">
        <x:f t="shared" si="103"/>
        <x:v/>
      </x:c>
      <x:c r="L75" s="459" t="str">
        <x:f t="shared" si="104"/>
        <x:v/>
      </x:c>
      <x:c r="M75" s="461" t="str">
        <x:f t="shared" si="83"/>
        <x:v/>
      </x:c>
      <x:c r="N75" s="460"/>
      <x:c r="O75" s="461">
        <x:f t="shared" si="84"/>
        <x:v>0</x:v>
      </x:c>
      <x:c r="P75" s="462"/>
      <x:c r="Q75" s="463">
        <x:f t="shared" si="85"/>
        <x:v>0</x:v>
      </x:c>
      <x:c r="R75" s="162" t="str">
        <x:f t="shared" si="86"/>
        <x:v>X</x:v>
      </x:c>
      <x:c r="S75" s="216"/>
      <x:c r="T75" s="327"/>
      <x:c r="U75" s="217"/>
      <x:c r="V75" s="203"/>
      <x:c r="W75" s="217"/>
      <x:c r="X75" s="217"/>
      <x:c r="Y75" s="162" t="str">
        <x:f t="shared" si="87"/>
        <x:v/>
      </x:c>
      <x:c r="Z75" s="45"/>
      <x:c r="AA75" s="471" t="str">
        <x:f t="shared" si="88"/>
        <x:v/>
      </x:c>
      <x:c r="AB75" s="471" t="str">
        <x:f t="shared" si="89"/>
        <x:v/>
      </x:c>
      <x:c r="AC75" s="471" t="str">
        <x:f t="shared" si="90"/>
        <x:v/>
      </x:c>
      <x:c r="AD75" s="471" t="str">
        <x:f t="shared" si="91"/>
        <x:v/>
      </x:c>
      <x:c r="AE75" s="46"/>
      <x:c r="AF75" s="471" t="str">
        <x:f t="shared" si="92"/>
        <x:v/>
      </x:c>
      <x:c r="AG75" s="471" t="str">
        <x:f t="shared" si="93"/>
        <x:v/>
      </x:c>
      <x:c r="AH75" s="471" t="str">
        <x:f t="shared" si="94"/>
        <x:v/>
      </x:c>
      <x:c r="AI75" s="471" t="str">
        <x:f t="shared" si="95"/>
        <x:v/>
      </x:c>
      <x:c r="AJ75" s="87"/>
      <x:c r="AK75" s="374" t="str">
        <x:f>IF($AQ75="","",IF(OR($AL75="",$AL75="도비"),"",CONCATENATE($AQ75,"-",COUNTIF($AQ$8:$AQ75,$AQ75))))</x:f>
        <x:v/>
      </x:c>
      <x:c r="AL75" s="374" t="str">
        <x:f t="shared" si="96"/>
        <x:v/>
      </x:c>
      <x:c r="AM75" s="87"/>
      <x:c r="AN75" s="375" t="str">
        <x:f>IF($AQ75="","",IF(OR($AO75="",$AO75="국비",$AO75="자체"),"",CONCATENATE($AQ75,"-",$AO75,"-",COUNTIF($AQ$8:$AQ75,$AQ75))))</x:f>
        <x:v/>
      </x:c>
      <x:c r="AO75" s="375" t="str">
        <x:f t="shared" si="97"/>
        <x:v/>
      </x:c>
      <x:c r="AP75" s="87"/>
      <x:c r="AQ75" s="374" t="str">
        <x:f t="array" ref="AQ75:AQ75">IF(OR($D75="",$C75="직접입력",$B75="직접입력"),"",INDEX(구분표!$I$2:$I$337,MATCH(1,(구분표!$G$2:$G$337='3. 일입'!$B75)*(구분표!$E$2:$E$337='3. 일입'!$C75)*(구분표!$F$2:$F$337='3. 일입'!$D75),0)))</x:f>
        <x:v/>
      </x:c>
      <x:c r="AR75" s="87"/>
      <x:c r="AS75" s="472" t="str">
        <x:f>IF($AK75="","",SUMIFS('3. 일출(의존)'!$AB$7:$AB$1989,'3. 일출(의존)'!$AN$7:$AN$1989,$AK75))</x:f>
        <x:v/>
      </x:c>
      <x:c r="AT75" s="377" t="str">
        <x:f>IF($AK75="","",COUNTIF('3. 일출(의존)'!$AN$7:$AN$1989,$AK75))</x:f>
        <x:v/>
      </x:c>
      <x:c r="AU75" s="374" t="str">
        <x:f t="shared" si="98"/>
        <x:v/>
      </x:c>
      <x:c r="AV75" s="472" t="str">
        <x:f>IF($AN75="","",IF($AO75="지역개발기금",SUMIFS('3. 일출(의존)'!$AE$8:$AE$2000,'3. 일출(의존)'!$AS$8:$AS$2000,$AN75)+SUMIFS('3. 일출(자체)'!$AE$8:$AE$2000,'3. 일출(자체)'!$AM$8:$AM$2000,$AN75),IF($AO75="지방채",SUMIFS('3. 일출(의존)'!$AD$8:$AD$2000,'3. 일출(의존)'!$AS$8:$AS$2000,$AN75)+SUMIFS('3. 일출(자체)'!$AD$8:$AD$2000,'3. 일출(자체)'!$AM$8:$AM$2000,$AN75),0)))</x:f>
        <x:v/>
      </x:c>
      <x:c r="AW75" s="377" t="str">
        <x:f>IF($AN75="","",COUNTIF('3. 일출(의존)'!$AS$8:$AS$2000,$AN75)+COUNTIF('3. 일출(자체)'!$AM$8:$AM$2000,$AN75))</x:f>
        <x:v/>
      </x:c>
      <x:c r="AX75" s="374" t="str">
        <x:f t="shared" si="99"/>
        <x:v/>
      </x:c>
      <x:c r="AY75" s="91"/>
      <x:c r="AZ75" s="472" t="str">
        <x:f>IF($AK75="","",SUMIFS('3. 일출(의존)'!$AH$8:$AH$1989,'3. 일출(의존)'!$AN$8:$AN$1989,$AK75))</x:f>
        <x:v/>
      </x:c>
      <x:c r="BA75" s="377" t="str">
        <x:f>IF($AK75="","",COUNTIF('3. 일출(의존)'!$AN$7:$AN$1989,$AK75))</x:f>
        <x:v/>
      </x:c>
      <x:c r="BB75" s="374" t="str">
        <x:f t="shared" si="100"/>
        <x:v/>
      </x:c>
      <x:c r="BC75" s="472" t="str">
        <x:f>IF($AN75="","",IF($AO75="지역개발기금",SUMIFS('3. 일출(의존)'!$AK$8:$AK$2000,'3. 일출(의존)'!$AS$8:$AS$2000,$AN75)+SUMIFS('3. 일출(자체)'!$AJ$8:$AJ$2000,'3. 일출(자체)'!$AM$8:$AM$2000,$AN75),IF($AO75="지방채",SUMIFS('3. 일출(의존)'!$AJ$8:$AJ$2000,'3. 일출(의존)'!$AS$8:$AS$2000,$AN75)+SUMIFS('3. 일출(자체)'!$AI$8:$AI$2000,'3. 일출(자체)'!$AM$8:$AM$2000,$AN75),0)))</x:f>
        <x:v/>
      </x:c>
      <x:c r="BD75" s="377" t="str">
        <x:f>IF($AN75="","",COUNTIF('3. 일출(의존)'!$AS$8:$AS$2000,$AN75)+COUNTIF('3. 일출(자체)'!$AM$8:$AM$2000,$AN75))</x:f>
        <x:v/>
      </x:c>
      <x:c r="BE75" s="374" t="str">
        <x:f t="shared" si="101"/>
        <x:v/>
      </x:c>
    </x:row>
    <x:row r="76" spans="1:57" ht="60" customHeight="1">
      <x:c r="A76" s="210"/>
      <x:c r="B76" s="888" t="s">
        <x:v>1519</x:v>
      </x:c>
      <x:c r="C76" s="888"/>
      <x:c r="D76" s="888"/>
      <x:c r="E76" s="888"/>
      <x:c r="F76" s="888"/>
      <x:c r="G76" s="888"/>
      <x:c r="H76" s="210"/>
      <x:c r="I76" s="79"/>
      <x:c r="J76" s="409" t="str">
        <x:f>SUBTOTAL(3,J77:J92)&amp;"건"</x:f>
        <x:v>0건</x:v>
      </x:c>
      <x:c r="K76" s="458">
        <x:f t="shared" ref="K76:L76" si="105">SUBTOTAL(9,K77:K92)</x:f>
        <x:v>0</x:v>
      </x:c>
      <x:c r="L76" s="458">
        <x:f t="shared" si="105"/>
        <x:v>0</x:v>
      </x:c>
      <x:c r="M76" s="458">
        <x:f t="shared" ref="M76:Q76" si="106">SUBTOTAL(9,M77:M92)</x:f>
        <x:v>0</x:v>
      </x:c>
      <x:c r="N76" s="458">
        <x:f t="shared" si="106"/>
        <x:v>0</x:v>
      </x:c>
      <x:c r="O76" s="458">
        <x:f t="shared" si="106"/>
        <x:v>0</x:v>
      </x:c>
      <x:c r="P76" s="458">
        <x:f t="shared" si="106"/>
        <x:v>0</x:v>
      </x:c>
      <x:c r="Q76" s="458">
        <x:f t="shared" si="106"/>
        <x:v>0</x:v>
      </x:c>
      <x:c r="R76" s="78"/>
      <x:c r="S76" s="78"/>
      <x:c r="T76" s="78"/>
      <x:c r="U76" s="78"/>
      <x:c r="V76" s="78"/>
      <x:c r="W76" s="78"/>
      <x:c r="X76" s="78"/>
      <x:c r="Y76" s="80"/>
      <x:c r="Z76" s="43"/>
      <x:c r="AA76" s="470">
        <x:f>SUBTOTAL(9,AA77:AA92)</x:f>
        <x:v>0</x:v>
      </x:c>
      <x:c r="AB76" s="470">
        <x:f t="shared" ref="AB76:AD76" si="107">SUBTOTAL(9,AB77:AB92)</x:f>
        <x:v>0</x:v>
      </x:c>
      <x:c r="AC76" s="470">
        <x:f t="shared" si="107"/>
        <x:v>0</x:v>
      </x:c>
      <x:c r="AD76" s="470">
        <x:f t="shared" si="107"/>
        <x:v>0</x:v>
      </x:c>
      <x:c r="AE76" s="166"/>
      <x:c r="AF76" s="470">
        <x:f>SUBTOTAL(9,AF77:AF92)</x:f>
        <x:v>0</x:v>
      </x:c>
      <x:c r="AG76" s="470">
        <x:f t="shared" ref="AG76:AI76" si="108">SUBTOTAL(9,AG77:AG92)</x:f>
        <x:v>0</x:v>
      </x:c>
      <x:c r="AH76" s="470">
        <x:f t="shared" si="108"/>
        <x:v>0</x:v>
      </x:c>
      <x:c r="AI76" s="470">
        <x:f t="shared" si="108"/>
        <x:v>0</x:v>
      </x:c>
      <x:c r="AJ76" s="53"/>
      <x:c r="AK76" s="80"/>
      <x:c r="AL76" s="80"/>
      <x:c r="AM76" s="53"/>
      <x:c r="AN76" s="80"/>
      <x:c r="AO76" s="80"/>
      <x:c r="AP76" s="53"/>
      <x:c r="AQ76" s="80"/>
      <x:c r="AR76" s="53"/>
      <x:c r="AS76" s="470">
        <x:f>SUBTOTAL(9,AS77:AS92)</x:f>
        <x:v>0</x:v>
      </x:c>
      <x:c r="AT76" s="470">
        <x:f>SUBTOTAL(9,AT77:AT92)</x:f>
        <x:v>0</x:v>
      </x:c>
      <x:c r="AU76" s="554" t="str">
        <x:f>IF(COUNTIF(AU77:AU92,"@@")&gt;0,"@@","OK")</x:f>
        <x:v>OK</x:v>
      </x:c>
      <x:c r="AV76" s="470">
        <x:f>SUBTOTAL(9,AV77:AV92)</x:f>
        <x:v>0</x:v>
      </x:c>
      <x:c r="AW76" s="470">
        <x:f>SUBTOTAL(9,AW77:AW92)</x:f>
        <x:v>0</x:v>
      </x:c>
      <x:c r="AX76" s="554" t="str">
        <x:f>IF(COUNTIF(AX77:AX92,"@@")&gt;0,"@@","OK")</x:f>
        <x:v>OK</x:v>
      </x:c>
      <x:c r="AY76" s="53"/>
      <x:c r="AZ76" s="470">
        <x:f>SUBTOTAL(9,AZ77:AZ92)</x:f>
        <x:v>0</x:v>
      </x:c>
      <x:c r="BA76" s="470">
        <x:f>SUBTOTAL(9,BA77:BA92)</x:f>
        <x:v>0</x:v>
      </x:c>
      <x:c r="BB76" s="554" t="str">
        <x:f>IF(COUNTIF(BB77:BB92,"@@")&gt;0,"@@","OK")</x:f>
        <x:v>OK</x:v>
      </x:c>
      <x:c r="BC76" s="470">
        <x:f>SUBTOTAL(9,BC77:BC92)</x:f>
        <x:v>0</x:v>
      </x:c>
      <x:c r="BD76" s="470">
        <x:f>SUBTOTAL(9,BD77:BD92)</x:f>
        <x:v>0</x:v>
      </x:c>
      <x:c r="BE76" s="554" t="str">
        <x:f>IF(COUNTIF(BE77:BE92,"@@")&gt;0,"@@","OK")</x:f>
        <x:v>OK</x:v>
      </x:c>
    </x:row>
    <x:row r="77" spans="1:57" s="20" customFormat="1" ht="80.099999999999994" customHeight="1">
      <x:c r="A77" s="155" t="str">
        <x:f>IF(D77="","",COUNTA($C$8:C77)-COUNTBLANK($C$8:C77)+5)</x:f>
        <x:v/>
      </x:c>
      <x:c r="B77" s="156" t="str">
        <x: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x:f>
        <x:v/>
      </x:c>
      <x:c r="C77" s="156" t="str">
        <x:f>IF(D77="","",IF(OR(D77="교육지원과",D77="총무과",D77="인사과"),"직접입력",VLOOKUP(D77,구분표!$A$3:$C$258,3,)))</x:f>
        <x:v/>
      </x:c>
      <x:c r="D77" s="219"/>
      <x:c r="E77" s="213"/>
      <x:c r="F77" s="388" t="str">
        <x:f>IF($E77="","",IF($E77="2추","직접입력","-"))</x:f>
        <x:v/>
      </x:c>
      <x:c r="G77" s="388" t="str">
        <x:f>IF($E77="","",IF($E77="2추","직접입력","-"))</x:f>
        <x:v/>
      </x:c>
      <x:c r="H77" s="213"/>
      <x:c r="I77" s="156" t="str">
        <x:f>IF(H77="","",VLOOKUP($H77,구분표!$O$3:$P$168,2,FALSE))</x:f>
        <x:v/>
      </x:c>
      <x:c r="J77" s="215"/>
      <x:c r="K77" s="459" t="str">
        <x:f>IF($E77="","",IF(OR($E77="2추",$E77="1추",$E77="본예산"),"금액입력","-"))</x:f>
        <x:v/>
      </x:c>
      <x:c r="L77" s="459" t="str">
        <x:f>IF($E77="","",IF($E77="2추","금액입력","-"))</x:f>
        <x:v/>
      </x:c>
      <x:c r="M77" s="461" t="str">
        <x:f t="shared" ref="M77:M92" si="109">IF($E77="","",SUM(K77:L77))</x:f>
        <x:v/>
      </x:c>
      <x:c r="N77" s="460"/>
      <x:c r="O77" s="461">
        <x:f t="shared" ref="O77:O92" si="110">SUM(M77:N77)</x:f>
        <x:v>0</x:v>
      </x:c>
      <x:c r="P77" s="462"/>
      <x:c r="Q77" s="463">
        <x:f t="shared" ref="Q77:Q92" si="111">SUM(M77,P77)</x:f>
        <x:v>0</x:v>
      </x:c>
      <x:c r="R77" s="162" t="str">
        <x:f t="shared" ref="R77:R92" si="112">IF(AND((O77=0),(Q77&gt;0)),"O",IF(AND((N77&lt;0),(O77-Q77&lt;0)),"O","X"))</x:f>
        <x:v>X</x:v>
      </x:c>
      <x:c r="S77" s="216"/>
      <x:c r="T77" s="327"/>
      <x:c r="U77" s="217"/>
      <x:c r="V77" s="203"/>
      <x:c r="W77" s="217"/>
      <x:c r="X77" s="217"/>
      <x:c r="Y77" s="162" t="str">
        <x:f t="shared" ref="Y77:Y92" si="113">IF($H77="","",IF(OR($H77="511-01",$H77="511-02",$H77="511-03",$H77="311-02",$H77="311-04",$H77="321-01"),"국비","도비"))</x:f>
        <x:v/>
      </x:c>
      <x:c r="Z77" s="45"/>
      <x:c r="AA77" s="471" t="str">
        <x:f t="shared" ref="AA77:AA92" si="114">IF($Y77="국비",IF($N77&lt;&gt;"",$N77,0),"")</x:f>
        <x:v/>
      </x:c>
      <x:c r="AB77" s="471" t="str">
        <x:f t="shared" ref="AB77:AB92" si="115">IF($Y77="도비",IF($AO77="자체",IF($N77&lt;&gt;"",$N77,0),""),"")</x:f>
        <x:v/>
      </x:c>
      <x:c r="AC77" s="471" t="str">
        <x:f t="shared" ref="AC77:AC92" si="116">IF($Y77="도비",IF($AO77="지방채",IF($N77&lt;&gt;"",$N77,0),""),"")</x:f>
        <x:v/>
      </x:c>
      <x:c r="AD77" s="471" t="str">
        <x:f t="shared" ref="AD77:AD92" si="117">IF($Y77="도비",IF($AO77="지역개발기금",IF($N77&lt;&gt;"",$N77,0),""),"")</x:f>
        <x:v/>
      </x:c>
      <x:c r="AE77" s="46"/>
      <x:c r="AF77" s="471" t="str">
        <x:f t="shared" ref="AF77:AF92" si="118">IF($Y77="국비",IF($P77&lt;&gt;"",$P77,0),"")</x:f>
        <x:v/>
      </x:c>
      <x:c r="AG77" s="471" t="str">
        <x:f t="shared" ref="AG77:AG92" si="119">IF($Y77="도비",IF($AO77="자체",IF($P77&lt;&gt;"",$P77,0),""),"")</x:f>
        <x:v/>
      </x:c>
      <x:c r="AH77" s="471" t="str">
        <x:f t="shared" ref="AH77:AH92" si="120">IF($Y77="도비",IF($AO77="지방채",IF($P77&lt;&gt;"",$P77,0),""),"")</x:f>
        <x:v/>
      </x:c>
      <x:c r="AI77" s="471" t="str">
        <x:f t="shared" ref="AI77:AI92" si="121">IF($Y77="도비",IF($AO77="지역개발기금",IF($P77&lt;&gt;"",$P77,0),""),"")</x:f>
        <x:v/>
      </x:c>
      <x:c r="AJ77" s="87"/>
      <x:c r="AK77" s="374" t="str">
        <x:f>IF($AQ77="","",IF(OR($AL77="",$AL77="도비"),"",CONCATENATE($AQ77,"-",COUNTIF($AQ$8:$AQ77,$AQ77))))</x:f>
        <x:v/>
      </x:c>
      <x:c r="AL77" s="374" t="str">
        <x:f t="shared" ref="AL77:AL92" si="122">IF($H77="","",IF($H77="511-01","국비",IF($H77="511-02","균특",IF($H77="511-03","기금",IF($H77="311-02","특교",IF($H77="311-04","소교",IF($H77="321-01","소멸","도비")))))))</x:f>
        <x:v/>
      </x:c>
      <x:c r="AM77" s="87"/>
      <x:c r="AN77" s="375" t="str">
        <x:f>IF($AQ77="","",IF(OR($AO77="",$AO77="국비",$AO77="자체"),"",CONCATENATE($AQ77,"-",$AO77,"-",COUNTIF($AQ$8:$AQ77,$AQ77))))</x:f>
        <x:v/>
      </x:c>
      <x:c r="AO77" s="375" t="str">
        <x:f t="shared" ref="AO77:AO92" si="123">IF($Y77="","",IF($Y77="국비","국비",IF($H77="612-01","지방채",IF($H77="722-02","지역개발기금","자체"))))</x:f>
        <x:v/>
      </x:c>
      <x:c r="AP77" s="87"/>
      <x:c r="AQ77" s="374" t="str">
        <x:f t="array" ref="AQ77:AQ77">IF(OR($D77="",$C77="직접입력",$B77="직접입력"),"",INDEX(구분표!$I$2:$I$337,MATCH(1,(구분표!$G$2:$G$337='3. 일입'!$B77)*(구분표!$E$2:$E$337='3. 일입'!$C77)*(구분표!$F$2:$F$337='3. 일입'!$D77),0)))</x:f>
        <x:v/>
      </x:c>
      <x:c r="AR77" s="87"/>
      <x:c r="AS77" s="472" t="str">
        <x:f>IF($AK77="","",SUMIFS('3. 일출(의존)'!$AB$7:$AB$1989,'3. 일출(의존)'!$AN$7:$AN$1989,$AK77))</x:f>
        <x:v/>
      </x:c>
      <x:c r="AT77" s="377" t="str">
        <x:f>IF($AK77="","",COUNTIF('3. 일출(의존)'!$AN$7:$AN$1989,$AK77))</x:f>
        <x:v/>
      </x:c>
      <x:c r="AU77" s="374" t="str">
        <x:f t="shared" ref="AU77:AU92" si="124">IF($AK77="","",IF($AA77=$AS77,"OK","@@"))</x:f>
        <x:v/>
      </x:c>
      <x:c r="AV77" s="472" t="str">
        <x:f>IF($AN77="","",IF($AO77="지역개발기금",SUMIFS('3. 일출(의존)'!$AE$8:$AE$2000,'3. 일출(의존)'!$AS$8:$AS$2000,$AN77)+SUMIFS('3. 일출(자체)'!$AE$8:$AE$2000,'3. 일출(자체)'!$AM$8:$AM$2000,$AN77),IF($AO77="지방채",SUMIFS('3. 일출(의존)'!$AD$8:$AD$2000,'3. 일출(의존)'!$AS$8:$AS$2000,$AN77)+SUMIFS('3. 일출(자체)'!$AD$8:$AD$2000,'3. 일출(자체)'!$AM$8:$AM$2000,$AN77),0)))</x:f>
        <x:v/>
      </x:c>
      <x:c r="AW77" s="377" t="str">
        <x:f>IF($AN77="","",COUNTIF('3. 일출(의존)'!$AS$8:$AS$2000,$AN77)+COUNTIF('3. 일출(자체)'!$AM$8:$AM$2000,$AN77))</x:f>
        <x:v/>
      </x:c>
      <x:c r="AX77" s="374" t="str">
        <x:f t="shared" ref="AX77:AX92" si="125">IF($AN77="","",IF($AO77="자체","",IF($AO77="지방채",IF($AC77=$AV77,"OK","@@"),IF($AO77="지역개발기금",IF($AD77=$AV77,"OK","@@"),"@@"))))</x:f>
        <x:v/>
      </x:c>
      <x:c r="AY77" s="91"/>
      <x:c r="AZ77" s="472" t="str">
        <x:f>IF($AK77="","",SUMIFS('3. 일출(의존)'!$AH$8:$AH$1989,'3. 일출(의존)'!$AN$8:$AN$1989,$AK77))</x:f>
        <x:v/>
      </x:c>
      <x:c r="BA77" s="377" t="str">
        <x:f>IF($AK77="","",COUNTIF('3. 일출(의존)'!$AN$7:$AN$1989,$AK77))</x:f>
        <x:v/>
      </x:c>
      <x:c r="BB77" s="374" t="str">
        <x:f t="shared" ref="BB77:BB92" si="126">IF($AK77="","",IF($AF77=$AZ77,"OK","@@"))</x:f>
        <x:v/>
      </x:c>
      <x:c r="BC77" s="472" t="str">
        <x:f>IF($AN77="","",IF($AO77="지역개발기금",SUMIFS('3. 일출(의존)'!$AK$8:$AK$2000,'3. 일출(의존)'!$AS$8:$AS$2000,$AN77)+SUMIFS('3. 일출(자체)'!$AJ$8:$AJ$2000,'3. 일출(자체)'!$AM$8:$AM$2000,$AN77),IF($AO77="지방채",SUMIFS('3. 일출(의존)'!$AJ$8:$AJ$2000,'3. 일출(의존)'!$AS$8:$AS$2000,$AN77)+SUMIFS('3. 일출(자체)'!$AI$8:$AI$2000,'3. 일출(자체)'!$AM$8:$AM$2000,$AN77),0)))</x:f>
        <x:v/>
      </x:c>
      <x:c r="BD77" s="377" t="str">
        <x:f>IF($AN77="","",COUNTIF('3. 일출(의존)'!$AS$8:$AS$2000,$AN77)+COUNTIF('3. 일출(자체)'!$AM$8:$AM$2000,$AN77))</x:f>
        <x:v/>
      </x:c>
      <x:c r="BE77" s="374" t="str">
        <x:f t="shared" ref="BE77:BE92" si="127">IF($AN77="","",IF($AO77="자체","",IF($AO77="지방채",IF($AH77=$BC77,"OK","@@"),IF($AO77="지역개발기금",IF($AI77=$BC77,"OK","@@"),"@@"))))</x:f>
        <x:v/>
      </x:c>
    </x:row>
    <x:row r="78" spans="1:57" s="20" customFormat="1" ht="80.099999999999994" customHeight="1">
      <x:c r="A78" s="155" t="str">
        <x:f>IF(D78="","",COUNTA($C$8:C78)-COUNTBLANK($C$8:C78)+5)</x:f>
        <x:v/>
      </x:c>
      <x:c r="B78" s="156" t="str">
        <x: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x:f>
        <x:v/>
      </x:c>
      <x:c r="C78" s="156" t="str">
        <x:f>IF(D78="","",IF(OR(D78="교육지원과",D78="총무과",D78="인사과"),"직접입력",VLOOKUP(D78,구분표!$A$3:$C$258,3,)))</x:f>
        <x:v/>
      </x:c>
      <x:c r="D78" s="219"/>
      <x:c r="E78" s="213"/>
      <x:c r="F78" s="388" t="str">
        <x:f t="shared" ref="F78:G92" si="128">IF($E78="","",IF($E78="2추","직접입력","-"))</x:f>
        <x:v/>
      </x:c>
      <x:c r="G78" s="388" t="str">
        <x:f t="shared" si="128"/>
        <x:v/>
      </x:c>
      <x:c r="H78" s="213"/>
      <x:c r="I78" s="156" t="str">
        <x:f>IF(H78="","",VLOOKUP($H78,구분표!$O$3:$P$168,2,FALSE))</x:f>
        <x:v/>
      </x:c>
      <x:c r="J78" s="215"/>
      <x:c r="K78" s="459" t="str">
        <x:f t="shared" ref="K78:K92" si="129">IF($E78="","",IF(OR($E78="2추",$E78="1추",$E78="본예산"),"금액입력","-"))</x:f>
        <x:v/>
      </x:c>
      <x:c r="L78" s="459" t="str">
        <x:f t="shared" ref="L78:L92" si="130">IF($E78="","",IF($E78="2추","금액입력","-"))</x:f>
        <x:v/>
      </x:c>
      <x:c r="M78" s="461" t="str">
        <x:f t="shared" si="109"/>
        <x:v/>
      </x:c>
      <x:c r="N78" s="460"/>
      <x:c r="O78" s="461">
        <x:f t="shared" si="110"/>
        <x:v>0</x:v>
      </x:c>
      <x:c r="P78" s="462"/>
      <x:c r="Q78" s="463">
        <x:f t="shared" si="111"/>
        <x:v>0</x:v>
      </x:c>
      <x:c r="R78" s="162" t="str">
        <x:f t="shared" si="112"/>
        <x:v>X</x:v>
      </x:c>
      <x:c r="S78" s="216"/>
      <x:c r="T78" s="327"/>
      <x:c r="U78" s="217"/>
      <x:c r="V78" s="203"/>
      <x:c r="W78" s="217"/>
      <x:c r="X78" s="217"/>
      <x:c r="Y78" s="162" t="str">
        <x:f t="shared" si="113"/>
        <x:v/>
      </x:c>
      <x:c r="Z78" s="45"/>
      <x:c r="AA78" s="471" t="str">
        <x:f t="shared" si="114"/>
        <x:v/>
      </x:c>
      <x:c r="AB78" s="471" t="str">
        <x:f t="shared" si="115"/>
        <x:v/>
      </x:c>
      <x:c r="AC78" s="471" t="str">
        <x:f t="shared" si="116"/>
        <x:v/>
      </x:c>
      <x:c r="AD78" s="471" t="str">
        <x:f t="shared" si="117"/>
        <x:v/>
      </x:c>
      <x:c r="AE78" s="46"/>
      <x:c r="AF78" s="471" t="str">
        <x:f t="shared" si="118"/>
        <x:v/>
      </x:c>
      <x:c r="AG78" s="471" t="str">
        <x:f t="shared" si="119"/>
        <x:v/>
      </x:c>
      <x:c r="AH78" s="471" t="str">
        <x:f t="shared" si="120"/>
        <x:v/>
      </x:c>
      <x:c r="AI78" s="471" t="str">
        <x:f t="shared" si="121"/>
        <x:v/>
      </x:c>
      <x:c r="AJ78" s="87"/>
      <x:c r="AK78" s="374" t="str">
        <x:f>IF($AQ78="","",IF(OR($AL78="",$AL78="도비"),"",CONCATENATE($AQ78,"-",COUNTIF($AQ$8:$AQ78,$AQ78))))</x:f>
        <x:v/>
      </x:c>
      <x:c r="AL78" s="374" t="str">
        <x:f t="shared" si="122"/>
        <x:v/>
      </x:c>
      <x:c r="AM78" s="87"/>
      <x:c r="AN78" s="375" t="str">
        <x:f>IF($AQ78="","",IF(OR($AO78="",$AO78="국비",$AO78="자체"),"",CONCATENATE($AQ78,"-",$AO78,"-",COUNTIF($AQ$8:$AQ78,$AQ78))))</x:f>
        <x:v/>
      </x:c>
      <x:c r="AO78" s="375" t="str">
        <x:f t="shared" si="123"/>
        <x:v/>
      </x:c>
      <x:c r="AP78" s="87"/>
      <x:c r="AQ78" s="374" t="str">
        <x:f t="array" ref="AQ78:AQ78">IF(OR($D78="",$C78="직접입력",$B78="직접입력"),"",INDEX(구분표!$I$2:$I$337,MATCH(1,(구분표!$G$2:$G$337='3. 일입'!$B78)*(구분표!$E$2:$E$337='3. 일입'!$C78)*(구분표!$F$2:$F$337='3. 일입'!$D78),0)))</x:f>
        <x:v/>
      </x:c>
      <x:c r="AR78" s="87"/>
      <x:c r="AS78" s="472" t="str">
        <x:f>IF($AK78="","",SUMIFS('3. 일출(의존)'!$AB$7:$AB$1989,'3. 일출(의존)'!$AN$7:$AN$1989,$AK78))</x:f>
        <x:v/>
      </x:c>
      <x:c r="AT78" s="377" t="str">
        <x:f>IF($AK78="","",COUNTIF('3. 일출(의존)'!$AN$7:$AN$1989,$AK78))</x:f>
        <x:v/>
      </x:c>
      <x:c r="AU78" s="374" t="str">
        <x:f t="shared" si="124"/>
        <x:v/>
      </x:c>
      <x:c r="AV78" s="472" t="str">
        <x:f>IF($AN78="","",IF($AO78="지역개발기금",SUMIFS('3. 일출(의존)'!$AE$8:$AE$2000,'3. 일출(의존)'!$AS$8:$AS$2000,$AN78)+SUMIFS('3. 일출(자체)'!$AE$8:$AE$2000,'3. 일출(자체)'!$AM$8:$AM$2000,$AN78),IF($AO78="지방채",SUMIFS('3. 일출(의존)'!$AD$8:$AD$2000,'3. 일출(의존)'!$AS$8:$AS$2000,$AN78)+SUMIFS('3. 일출(자체)'!$AD$8:$AD$2000,'3. 일출(자체)'!$AM$8:$AM$2000,$AN78),0)))</x:f>
        <x:v/>
      </x:c>
      <x:c r="AW78" s="377" t="str">
        <x:f>IF($AN78="","",COUNTIF('3. 일출(의존)'!$AS$8:$AS$2000,$AN78)+COUNTIF('3. 일출(자체)'!$AM$8:$AM$2000,$AN78))</x:f>
        <x:v/>
      </x:c>
      <x:c r="AX78" s="374" t="str">
        <x:f t="shared" si="125"/>
        <x:v/>
      </x:c>
      <x:c r="AY78" s="91"/>
      <x:c r="AZ78" s="472" t="str">
        <x:f>IF($AK78="","",SUMIFS('3. 일출(의존)'!$AH$8:$AH$1989,'3. 일출(의존)'!$AN$8:$AN$1989,$AK78))</x:f>
        <x:v/>
      </x:c>
      <x:c r="BA78" s="377" t="str">
        <x:f>IF($AK78="","",COUNTIF('3. 일출(의존)'!$AN$7:$AN$1989,$AK78))</x:f>
        <x:v/>
      </x:c>
      <x:c r="BB78" s="374" t="str">
        <x:f t="shared" si="126"/>
        <x:v/>
      </x:c>
      <x:c r="BC78" s="472" t="str">
        <x:f>IF($AN78="","",IF($AO78="지역개발기금",SUMIFS('3. 일출(의존)'!$AK$8:$AK$2000,'3. 일출(의존)'!$AS$8:$AS$2000,$AN78)+SUMIFS('3. 일출(자체)'!$AJ$8:$AJ$2000,'3. 일출(자체)'!$AM$8:$AM$2000,$AN78),IF($AO78="지방채",SUMIFS('3. 일출(의존)'!$AJ$8:$AJ$2000,'3. 일출(의존)'!$AS$8:$AS$2000,$AN78)+SUMIFS('3. 일출(자체)'!$AI$8:$AI$2000,'3. 일출(자체)'!$AM$8:$AM$2000,$AN78),0)))</x:f>
        <x:v/>
      </x:c>
      <x:c r="BD78" s="377" t="str">
        <x:f>IF($AN78="","",COUNTIF('3. 일출(의존)'!$AS$8:$AS$2000,$AN78)+COUNTIF('3. 일출(자체)'!$AM$8:$AM$2000,$AN78))</x:f>
        <x:v/>
      </x:c>
      <x:c r="BE78" s="374" t="str">
        <x:f t="shared" si="127"/>
        <x:v/>
      </x:c>
    </x:row>
    <x:row r="79" spans="1:57" s="20" customFormat="1" ht="80.099999999999994" customHeight="1">
      <x:c r="A79" s="155" t="str">
        <x:f>IF(D79="","",COUNTA($C$8:C79)-COUNTBLANK($C$8:C79)+5)</x:f>
        <x:v/>
      </x:c>
      <x:c r="B79" s="156" t="str">
        <x: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x:f>
        <x:v/>
      </x:c>
      <x:c r="C79" s="156" t="str">
        <x:f>IF(D79="","",IF(OR(D79="교육지원과",D79="총무과",D79="인사과"),"직접입력",VLOOKUP(D79,구분표!$A$3:$C$258,3,)))</x:f>
        <x:v/>
      </x:c>
      <x:c r="D79" s="219"/>
      <x:c r="E79" s="213"/>
      <x:c r="F79" s="388" t="str">
        <x:f t="shared" si="128"/>
        <x:v/>
      </x:c>
      <x:c r="G79" s="388" t="str">
        <x:f t="shared" si="128"/>
        <x:v/>
      </x:c>
      <x:c r="H79" s="213"/>
      <x:c r="I79" s="156" t="str">
        <x:f>IF(H79="","",VLOOKUP($H79,구분표!$O$3:$P$168,2,FALSE))</x:f>
        <x:v/>
      </x:c>
      <x:c r="J79" s="215"/>
      <x:c r="K79" s="459" t="str">
        <x:f t="shared" si="129"/>
        <x:v/>
      </x:c>
      <x:c r="L79" s="459" t="str">
        <x:f t="shared" si="130"/>
        <x:v/>
      </x:c>
      <x:c r="M79" s="461" t="str">
        <x:f t="shared" si="109"/>
        <x:v/>
      </x:c>
      <x:c r="N79" s="460"/>
      <x:c r="O79" s="461">
        <x:f t="shared" si="110"/>
        <x:v>0</x:v>
      </x:c>
      <x:c r="P79" s="462"/>
      <x:c r="Q79" s="463">
        <x:f t="shared" si="111"/>
        <x:v>0</x:v>
      </x:c>
      <x:c r="R79" s="162" t="str">
        <x:f t="shared" si="112"/>
        <x:v>X</x:v>
      </x:c>
      <x:c r="S79" s="216"/>
      <x:c r="T79" s="327"/>
      <x:c r="U79" s="217"/>
      <x:c r="V79" s="203"/>
      <x:c r="W79" s="217"/>
      <x:c r="X79" s="217"/>
      <x:c r="Y79" s="162" t="str">
        <x:f t="shared" si="113"/>
        <x:v/>
      </x:c>
      <x:c r="Z79" s="45"/>
      <x:c r="AA79" s="471" t="str">
        <x:f t="shared" si="114"/>
        <x:v/>
      </x:c>
      <x:c r="AB79" s="471" t="str">
        <x:f t="shared" si="115"/>
        <x:v/>
      </x:c>
      <x:c r="AC79" s="471" t="str">
        <x:f t="shared" si="116"/>
        <x:v/>
      </x:c>
      <x:c r="AD79" s="471" t="str">
        <x:f t="shared" si="117"/>
        <x:v/>
      </x:c>
      <x:c r="AE79" s="46"/>
      <x:c r="AF79" s="471" t="str">
        <x:f t="shared" si="118"/>
        <x:v/>
      </x:c>
      <x:c r="AG79" s="471" t="str">
        <x:f t="shared" si="119"/>
        <x:v/>
      </x:c>
      <x:c r="AH79" s="471" t="str">
        <x:f t="shared" si="120"/>
        <x:v/>
      </x:c>
      <x:c r="AI79" s="471" t="str">
        <x:f t="shared" si="121"/>
        <x:v/>
      </x:c>
      <x:c r="AJ79" s="87"/>
      <x:c r="AK79" s="374" t="str">
        <x:f>IF($AQ79="","",IF(OR($AL79="",$AL79="도비"),"",CONCATENATE($AQ79,"-",COUNTIF($AQ$8:$AQ79,$AQ79))))</x:f>
        <x:v/>
      </x:c>
      <x:c r="AL79" s="374" t="str">
        <x:f t="shared" si="122"/>
        <x:v/>
      </x:c>
      <x:c r="AM79" s="87"/>
      <x:c r="AN79" s="375" t="str">
        <x:f>IF($AQ79="","",IF(OR($AO79="",$AO79="국비",$AO79="자체"),"",CONCATENATE($AQ79,"-",$AO79,"-",COUNTIF($AQ$8:$AQ79,$AQ79))))</x:f>
        <x:v/>
      </x:c>
      <x:c r="AO79" s="375" t="str">
        <x:f t="shared" si="123"/>
        <x:v/>
      </x:c>
      <x:c r="AP79" s="87"/>
      <x:c r="AQ79" s="374" t="str">
        <x:f t="array" ref="AQ79:AQ79">IF(OR($D79="",$C79="직접입력",$B79="직접입력"),"",INDEX(구분표!$I$2:$I$337,MATCH(1,(구분표!$G$2:$G$337='3. 일입'!$B79)*(구분표!$E$2:$E$337='3. 일입'!$C79)*(구분표!$F$2:$F$337='3. 일입'!$D79),0)))</x:f>
        <x:v/>
      </x:c>
      <x:c r="AR79" s="87"/>
      <x:c r="AS79" s="472" t="str">
        <x:f>IF($AK79="","",SUMIFS('3. 일출(의존)'!$AB$7:$AB$1989,'3. 일출(의존)'!$AN$7:$AN$1989,$AK79))</x:f>
        <x:v/>
      </x:c>
      <x:c r="AT79" s="377" t="str">
        <x:f>IF($AK79="","",COUNTIF('3. 일출(의존)'!$AN$7:$AN$1989,$AK79))</x:f>
        <x:v/>
      </x:c>
      <x:c r="AU79" s="374" t="str">
        <x:f t="shared" si="124"/>
        <x:v/>
      </x:c>
      <x:c r="AV79" s="472" t="str">
        <x:f>IF($AN79="","",IF($AO79="지역개발기금",SUMIFS('3. 일출(의존)'!$AE$8:$AE$2000,'3. 일출(의존)'!$AS$8:$AS$2000,$AN79)+SUMIFS('3. 일출(자체)'!$AE$8:$AE$2000,'3. 일출(자체)'!$AM$8:$AM$2000,$AN79),IF($AO79="지방채",SUMIFS('3. 일출(의존)'!$AD$8:$AD$2000,'3. 일출(의존)'!$AS$8:$AS$2000,$AN79)+SUMIFS('3. 일출(자체)'!$AD$8:$AD$2000,'3. 일출(자체)'!$AM$8:$AM$2000,$AN79),0)))</x:f>
        <x:v/>
      </x:c>
      <x:c r="AW79" s="377" t="str">
        <x:f>IF($AN79="","",COUNTIF('3. 일출(의존)'!$AS$8:$AS$2000,$AN79)+COUNTIF('3. 일출(자체)'!$AM$8:$AM$2000,$AN79))</x:f>
        <x:v/>
      </x:c>
      <x:c r="AX79" s="374" t="str">
        <x:f t="shared" si="125"/>
        <x:v/>
      </x:c>
      <x:c r="AY79" s="91"/>
      <x:c r="AZ79" s="472" t="str">
        <x:f>IF($AK79="","",SUMIFS('3. 일출(의존)'!$AH$8:$AH$1989,'3. 일출(의존)'!$AN$8:$AN$1989,$AK79))</x:f>
        <x:v/>
      </x:c>
      <x:c r="BA79" s="377" t="str">
        <x:f>IF($AK79="","",COUNTIF('3. 일출(의존)'!$AN$7:$AN$1989,$AK79))</x:f>
        <x:v/>
      </x:c>
      <x:c r="BB79" s="374" t="str">
        <x:f t="shared" si="126"/>
        <x:v/>
      </x:c>
      <x:c r="BC79" s="472" t="str">
        <x:f>IF($AN79="","",IF($AO79="지역개발기금",SUMIFS('3. 일출(의존)'!$AK$8:$AK$2000,'3. 일출(의존)'!$AS$8:$AS$2000,$AN79)+SUMIFS('3. 일출(자체)'!$AJ$8:$AJ$2000,'3. 일출(자체)'!$AM$8:$AM$2000,$AN79),IF($AO79="지방채",SUMIFS('3. 일출(의존)'!$AJ$8:$AJ$2000,'3. 일출(의존)'!$AS$8:$AS$2000,$AN79)+SUMIFS('3. 일출(자체)'!$AI$8:$AI$2000,'3. 일출(자체)'!$AM$8:$AM$2000,$AN79),0)))</x:f>
        <x:v/>
      </x:c>
      <x:c r="BD79" s="377" t="str">
        <x:f>IF($AN79="","",COUNTIF('3. 일출(의존)'!$AS$8:$AS$2000,$AN79)+COUNTIF('3. 일출(자체)'!$AM$8:$AM$2000,$AN79))</x:f>
        <x:v/>
      </x:c>
      <x:c r="BE79" s="374" t="str">
        <x:f t="shared" si="127"/>
        <x:v/>
      </x:c>
    </x:row>
    <x:row r="80" spans="1:57" s="20" customFormat="1" ht="80.099999999999994" customHeight="1">
      <x:c r="A80" s="155" t="str">
        <x:f>IF(D80="","",COUNTA($C$8:C80)-COUNTBLANK($C$8:C80)+5)</x:f>
        <x:v/>
      </x:c>
      <x:c r="B80" s="156" t="str">
        <x: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x:f>
        <x:v/>
      </x:c>
      <x:c r="C80" s="156" t="str">
        <x:f>IF(D80="","",IF(OR(D80="교육지원과",D80="총무과",D80="인사과"),"직접입력",VLOOKUP(D80,구분표!$A$3:$C$258,3,)))</x:f>
        <x:v/>
      </x:c>
      <x:c r="D80" s="219"/>
      <x:c r="E80" s="213"/>
      <x:c r="F80" s="388" t="str">
        <x:f t="shared" si="128"/>
        <x:v/>
      </x:c>
      <x:c r="G80" s="388" t="str">
        <x:f t="shared" si="128"/>
        <x:v/>
      </x:c>
      <x:c r="H80" s="213"/>
      <x:c r="I80" s="156" t="str">
        <x:f>IF(H80="","",VLOOKUP($H80,구분표!$O$3:$P$168,2,FALSE))</x:f>
        <x:v/>
      </x:c>
      <x:c r="J80" s="215"/>
      <x:c r="K80" s="459" t="str">
        <x:f t="shared" si="129"/>
        <x:v/>
      </x:c>
      <x:c r="L80" s="459" t="str">
        <x:f t="shared" si="130"/>
        <x:v/>
      </x:c>
      <x:c r="M80" s="461" t="str">
        <x:f t="shared" si="109"/>
        <x:v/>
      </x:c>
      <x:c r="N80" s="460"/>
      <x:c r="O80" s="461">
        <x:f t="shared" si="110"/>
        <x:v>0</x:v>
      </x:c>
      <x:c r="P80" s="462"/>
      <x:c r="Q80" s="463">
        <x:f t="shared" si="111"/>
        <x:v>0</x:v>
      </x:c>
      <x:c r="R80" s="162" t="str">
        <x:f t="shared" si="112"/>
        <x:v>X</x:v>
      </x:c>
      <x:c r="S80" s="216"/>
      <x:c r="T80" s="327"/>
      <x:c r="U80" s="217"/>
      <x:c r="V80" s="203"/>
      <x:c r="W80" s="217"/>
      <x:c r="X80" s="217"/>
      <x:c r="Y80" s="162" t="str">
        <x:f t="shared" si="113"/>
        <x:v/>
      </x:c>
      <x:c r="Z80" s="45"/>
      <x:c r="AA80" s="471" t="str">
        <x:f t="shared" si="114"/>
        <x:v/>
      </x:c>
      <x:c r="AB80" s="471" t="str">
        <x:f t="shared" si="115"/>
        <x:v/>
      </x:c>
      <x:c r="AC80" s="471" t="str">
        <x:f t="shared" si="116"/>
        <x:v/>
      </x:c>
      <x:c r="AD80" s="471" t="str">
        <x:f t="shared" si="117"/>
        <x:v/>
      </x:c>
      <x:c r="AE80" s="46"/>
      <x:c r="AF80" s="471" t="str">
        <x:f t="shared" si="118"/>
        <x:v/>
      </x:c>
      <x:c r="AG80" s="471" t="str">
        <x:f t="shared" si="119"/>
        <x:v/>
      </x:c>
      <x:c r="AH80" s="471" t="str">
        <x:f t="shared" si="120"/>
        <x:v/>
      </x:c>
      <x:c r="AI80" s="471" t="str">
        <x:f t="shared" si="121"/>
        <x:v/>
      </x:c>
      <x:c r="AJ80" s="87"/>
      <x:c r="AK80" s="374" t="str">
        <x:f>IF($AQ80="","",IF(OR($AL80="",$AL80="도비"),"",CONCATENATE($AQ80,"-",COUNTIF($AQ$8:$AQ80,$AQ80))))</x:f>
        <x:v/>
      </x:c>
      <x:c r="AL80" s="374" t="str">
        <x:f t="shared" si="122"/>
        <x:v/>
      </x:c>
      <x:c r="AM80" s="87"/>
      <x:c r="AN80" s="375" t="str">
        <x:f>IF($AQ80="","",IF(OR($AO80="",$AO80="국비",$AO80="자체"),"",CONCATENATE($AQ80,"-",$AO80,"-",COUNTIF($AQ$8:$AQ80,$AQ80))))</x:f>
        <x:v/>
      </x:c>
      <x:c r="AO80" s="375" t="str">
        <x:f t="shared" si="123"/>
        <x:v/>
      </x:c>
      <x:c r="AP80" s="87"/>
      <x:c r="AQ80" s="374" t="str">
        <x:f t="array" ref="AQ80:AQ80">IF(OR($D80="",$C80="직접입력",$B80="직접입력"),"",INDEX(구분표!$I$2:$I$337,MATCH(1,(구분표!$G$2:$G$337='3. 일입'!$B80)*(구분표!$E$2:$E$337='3. 일입'!$C80)*(구분표!$F$2:$F$337='3. 일입'!$D80),0)))</x:f>
        <x:v/>
      </x:c>
      <x:c r="AR80" s="87"/>
      <x:c r="AS80" s="472" t="str">
        <x:f>IF($AK80="","",SUMIFS('3. 일출(의존)'!$AB$7:$AB$1989,'3. 일출(의존)'!$AN$7:$AN$1989,$AK80))</x:f>
        <x:v/>
      </x:c>
      <x:c r="AT80" s="377" t="str">
        <x:f>IF($AK80="","",COUNTIF('3. 일출(의존)'!$AN$7:$AN$1989,$AK80))</x:f>
        <x:v/>
      </x:c>
      <x:c r="AU80" s="374" t="str">
        <x:f t="shared" si="124"/>
        <x:v/>
      </x:c>
      <x:c r="AV80" s="472" t="str">
        <x:f>IF($AN80="","",IF($AO80="지역개발기금",SUMIFS('3. 일출(의존)'!$AE$8:$AE$2000,'3. 일출(의존)'!$AS$8:$AS$2000,$AN80)+SUMIFS('3. 일출(자체)'!$AE$8:$AE$2000,'3. 일출(자체)'!$AM$8:$AM$2000,$AN80),IF($AO80="지방채",SUMIFS('3. 일출(의존)'!$AD$8:$AD$2000,'3. 일출(의존)'!$AS$8:$AS$2000,$AN80)+SUMIFS('3. 일출(자체)'!$AD$8:$AD$2000,'3. 일출(자체)'!$AM$8:$AM$2000,$AN80),0)))</x:f>
        <x:v/>
      </x:c>
      <x:c r="AW80" s="377" t="str">
        <x:f>IF($AN80="","",COUNTIF('3. 일출(의존)'!$AS$8:$AS$2000,$AN80)+COUNTIF('3. 일출(자체)'!$AM$8:$AM$2000,$AN80))</x:f>
        <x:v/>
      </x:c>
      <x:c r="AX80" s="374" t="str">
        <x:f t="shared" si="125"/>
        <x:v/>
      </x:c>
      <x:c r="AY80" s="91"/>
      <x:c r="AZ80" s="472" t="str">
        <x:f>IF($AK80="","",SUMIFS('3. 일출(의존)'!$AH$8:$AH$1989,'3. 일출(의존)'!$AN$8:$AN$1989,$AK80))</x:f>
        <x:v/>
      </x:c>
      <x:c r="BA80" s="377" t="str">
        <x:f>IF($AK80="","",COUNTIF('3. 일출(의존)'!$AN$7:$AN$1989,$AK80))</x:f>
        <x:v/>
      </x:c>
      <x:c r="BB80" s="374" t="str">
        <x:f t="shared" si="126"/>
        <x:v/>
      </x:c>
      <x:c r="BC80" s="472" t="str">
        <x:f>IF($AN80="","",IF($AO80="지역개발기금",SUMIFS('3. 일출(의존)'!$AK$8:$AK$2000,'3. 일출(의존)'!$AS$8:$AS$2000,$AN80)+SUMIFS('3. 일출(자체)'!$AJ$8:$AJ$2000,'3. 일출(자체)'!$AM$8:$AM$2000,$AN80),IF($AO80="지방채",SUMIFS('3. 일출(의존)'!$AJ$8:$AJ$2000,'3. 일출(의존)'!$AS$8:$AS$2000,$AN80)+SUMIFS('3. 일출(자체)'!$AI$8:$AI$2000,'3. 일출(자체)'!$AM$8:$AM$2000,$AN80),0)))</x:f>
        <x:v/>
      </x:c>
      <x:c r="BD80" s="377" t="str">
        <x:f>IF($AN80="","",COUNTIF('3. 일출(의존)'!$AS$8:$AS$2000,$AN80)+COUNTIF('3. 일출(자체)'!$AM$8:$AM$2000,$AN80))</x:f>
        <x:v/>
      </x:c>
      <x:c r="BE80" s="374" t="str">
        <x:f t="shared" si="127"/>
        <x:v/>
      </x:c>
    </x:row>
    <x:row r="81" spans="1:57" s="20" customFormat="1" ht="80.099999999999994" customHeight="1">
      <x:c r="A81" s="155" t="str">
        <x:f>IF(D81="","",COUNTA($C$8:C81)-COUNTBLANK($C$8:C81)+5)</x:f>
        <x:v/>
      </x:c>
      <x:c r="B81" s="156" t="str">
        <x: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x:f>
        <x:v/>
      </x:c>
      <x:c r="C81" s="156" t="str">
        <x:f>IF(D81="","",IF(OR(D81="교육지원과",D81="총무과",D81="인사과"),"직접입력",VLOOKUP(D81,구분표!$A$3:$C$258,3,)))</x:f>
        <x:v/>
      </x:c>
      <x:c r="D81" s="219"/>
      <x:c r="E81" s="213"/>
      <x:c r="F81" s="388" t="str">
        <x:f t="shared" si="128"/>
        <x:v/>
      </x:c>
      <x:c r="G81" s="388" t="str">
        <x:f t="shared" si="128"/>
        <x:v/>
      </x:c>
      <x:c r="H81" s="213"/>
      <x:c r="I81" s="156" t="str">
        <x:f>IF(H81="","",VLOOKUP($H81,구분표!$O$3:$P$168,2,FALSE))</x:f>
        <x:v/>
      </x:c>
      <x:c r="J81" s="215"/>
      <x:c r="K81" s="459" t="str">
        <x:f t="shared" si="129"/>
        <x:v/>
      </x:c>
      <x:c r="L81" s="459" t="str">
        <x:f t="shared" si="130"/>
        <x:v/>
      </x:c>
      <x:c r="M81" s="461" t="str">
        <x:f t="shared" si="109"/>
        <x:v/>
      </x:c>
      <x:c r="N81" s="460"/>
      <x:c r="O81" s="461">
        <x:f t="shared" si="110"/>
        <x:v>0</x:v>
      </x:c>
      <x:c r="P81" s="462"/>
      <x:c r="Q81" s="463">
        <x:f t="shared" si="111"/>
        <x:v>0</x:v>
      </x:c>
      <x:c r="R81" s="162" t="str">
        <x:f t="shared" si="112"/>
        <x:v>X</x:v>
      </x:c>
      <x:c r="S81" s="216"/>
      <x:c r="T81" s="327"/>
      <x:c r="U81" s="217"/>
      <x:c r="V81" s="203"/>
      <x:c r="W81" s="217"/>
      <x:c r="X81" s="217"/>
      <x:c r="Y81" s="162" t="str">
        <x:f t="shared" si="113"/>
        <x:v/>
      </x:c>
      <x:c r="Z81" s="45"/>
      <x:c r="AA81" s="471" t="str">
        <x:f t="shared" si="114"/>
        <x:v/>
      </x:c>
      <x:c r="AB81" s="471" t="str">
        <x:f t="shared" si="115"/>
        <x:v/>
      </x:c>
      <x:c r="AC81" s="471" t="str">
        <x:f t="shared" si="116"/>
        <x:v/>
      </x:c>
      <x:c r="AD81" s="471" t="str">
        <x:f t="shared" si="117"/>
        <x:v/>
      </x:c>
      <x:c r="AE81" s="46"/>
      <x:c r="AF81" s="471" t="str">
        <x:f t="shared" si="118"/>
        <x:v/>
      </x:c>
      <x:c r="AG81" s="471" t="str">
        <x:f t="shared" si="119"/>
        <x:v/>
      </x:c>
      <x:c r="AH81" s="471" t="str">
        <x:f t="shared" si="120"/>
        <x:v/>
      </x:c>
      <x:c r="AI81" s="471" t="str">
        <x:f t="shared" si="121"/>
        <x:v/>
      </x:c>
      <x:c r="AJ81" s="87"/>
      <x:c r="AK81" s="374" t="str">
        <x:f>IF($AQ81="","",IF(OR($AL81="",$AL81="도비"),"",CONCATENATE($AQ81,"-",COUNTIF($AQ$8:$AQ81,$AQ81))))</x:f>
        <x:v/>
      </x:c>
      <x:c r="AL81" s="374" t="str">
        <x:f t="shared" si="122"/>
        <x:v/>
      </x:c>
      <x:c r="AM81" s="87"/>
      <x:c r="AN81" s="375" t="str">
        <x:f>IF($AQ81="","",IF(OR($AO81="",$AO81="국비",$AO81="자체"),"",CONCATENATE($AQ81,"-",$AO81,"-",COUNTIF($AQ$8:$AQ81,$AQ81))))</x:f>
        <x:v/>
      </x:c>
      <x:c r="AO81" s="375" t="str">
        <x:f t="shared" si="123"/>
        <x:v/>
      </x:c>
      <x:c r="AP81" s="87"/>
      <x:c r="AQ81" s="374" t="str">
        <x:f t="array" ref="AQ81:AQ81">IF(OR($D81="",$C81="직접입력",$B81="직접입력"),"",INDEX(구분표!$I$2:$I$337,MATCH(1,(구분표!$G$2:$G$337='3. 일입'!$B81)*(구분표!$E$2:$E$337='3. 일입'!$C81)*(구분표!$F$2:$F$337='3. 일입'!$D81),0)))</x:f>
        <x:v/>
      </x:c>
      <x:c r="AR81" s="87"/>
      <x:c r="AS81" s="472" t="str">
        <x:f>IF($AK81="","",SUMIFS('3. 일출(의존)'!$AB$7:$AB$1989,'3. 일출(의존)'!$AN$7:$AN$1989,$AK81))</x:f>
        <x:v/>
      </x:c>
      <x:c r="AT81" s="377" t="str">
        <x:f>IF($AK81="","",COUNTIF('3. 일출(의존)'!$AN$7:$AN$1989,$AK81))</x:f>
        <x:v/>
      </x:c>
      <x:c r="AU81" s="374" t="str">
        <x:f t="shared" si="124"/>
        <x:v/>
      </x:c>
      <x:c r="AV81" s="472" t="str">
        <x:f>IF($AN81="","",IF($AO81="지역개발기금",SUMIFS('3. 일출(의존)'!$AE$8:$AE$2000,'3. 일출(의존)'!$AS$8:$AS$2000,$AN81)+SUMIFS('3. 일출(자체)'!$AE$8:$AE$2000,'3. 일출(자체)'!$AM$8:$AM$2000,$AN81),IF($AO81="지방채",SUMIFS('3. 일출(의존)'!$AD$8:$AD$2000,'3. 일출(의존)'!$AS$8:$AS$2000,$AN81)+SUMIFS('3. 일출(자체)'!$AD$8:$AD$2000,'3. 일출(자체)'!$AM$8:$AM$2000,$AN81),0)))</x:f>
        <x:v/>
      </x:c>
      <x:c r="AW81" s="377" t="str">
        <x:f>IF($AN81="","",COUNTIF('3. 일출(의존)'!$AS$8:$AS$2000,$AN81)+COUNTIF('3. 일출(자체)'!$AM$8:$AM$2000,$AN81))</x:f>
        <x:v/>
      </x:c>
      <x:c r="AX81" s="374" t="str">
        <x:f t="shared" si="125"/>
        <x:v/>
      </x:c>
      <x:c r="AY81" s="91"/>
      <x:c r="AZ81" s="472" t="str">
        <x:f>IF($AK81="","",SUMIFS('3. 일출(의존)'!$AH$8:$AH$1989,'3. 일출(의존)'!$AN$8:$AN$1989,$AK81))</x:f>
        <x:v/>
      </x:c>
      <x:c r="BA81" s="377" t="str">
        <x:f>IF($AK81="","",COUNTIF('3. 일출(의존)'!$AN$7:$AN$1989,$AK81))</x:f>
        <x:v/>
      </x:c>
      <x:c r="BB81" s="374" t="str">
        <x:f t="shared" si="126"/>
        <x:v/>
      </x:c>
      <x:c r="BC81" s="472" t="str">
        <x:f>IF($AN81="","",IF($AO81="지역개발기금",SUMIFS('3. 일출(의존)'!$AK$8:$AK$2000,'3. 일출(의존)'!$AS$8:$AS$2000,$AN81)+SUMIFS('3. 일출(자체)'!$AJ$8:$AJ$2000,'3. 일출(자체)'!$AM$8:$AM$2000,$AN81),IF($AO81="지방채",SUMIFS('3. 일출(의존)'!$AJ$8:$AJ$2000,'3. 일출(의존)'!$AS$8:$AS$2000,$AN81)+SUMIFS('3. 일출(자체)'!$AI$8:$AI$2000,'3. 일출(자체)'!$AM$8:$AM$2000,$AN81),0)))</x:f>
        <x:v/>
      </x:c>
      <x:c r="BD81" s="377" t="str">
        <x:f>IF($AN81="","",COUNTIF('3. 일출(의존)'!$AS$8:$AS$2000,$AN81)+COUNTIF('3. 일출(자체)'!$AM$8:$AM$2000,$AN81))</x:f>
        <x:v/>
      </x:c>
      <x:c r="BE81" s="374" t="str">
        <x:f t="shared" si="127"/>
        <x:v/>
      </x:c>
    </x:row>
    <x:row r="82" spans="1:57" s="20" customFormat="1" ht="80.099999999999994" customHeight="1">
      <x:c r="A82" s="155" t="str">
        <x:f>IF(D82="","",COUNTA($C$8:C82)-COUNTBLANK($C$8:C82)+5)</x:f>
        <x:v/>
      </x:c>
      <x:c r="B82" s="156" t="str">
        <x: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x:f>
        <x:v/>
      </x:c>
      <x:c r="C82" s="156" t="str">
        <x:f>IF(D82="","",IF(OR(D82="교육지원과",D82="총무과",D82="인사과"),"직접입력",VLOOKUP(D82,구분표!$A$3:$C$258,3,)))</x:f>
        <x:v/>
      </x:c>
      <x:c r="D82" s="219"/>
      <x:c r="E82" s="213"/>
      <x:c r="F82" s="388" t="str">
        <x:f t="shared" si="128"/>
        <x:v/>
      </x:c>
      <x:c r="G82" s="388" t="str">
        <x:f t="shared" si="128"/>
        <x:v/>
      </x:c>
      <x:c r="H82" s="213"/>
      <x:c r="I82" s="156" t="str">
        <x:f>IF(H82="","",VLOOKUP($H82,구분표!$O$3:$P$168,2,FALSE))</x:f>
        <x:v/>
      </x:c>
      <x:c r="J82" s="215"/>
      <x:c r="K82" s="459" t="str">
        <x:f t="shared" si="129"/>
        <x:v/>
      </x:c>
      <x:c r="L82" s="459" t="str">
        <x:f t="shared" si="130"/>
        <x:v/>
      </x:c>
      <x:c r="M82" s="461" t="str">
        <x:f t="shared" si="109"/>
        <x:v/>
      </x:c>
      <x:c r="N82" s="460"/>
      <x:c r="O82" s="461">
        <x:f t="shared" si="110"/>
        <x:v>0</x:v>
      </x:c>
      <x:c r="P82" s="462"/>
      <x:c r="Q82" s="463">
        <x:f t="shared" si="111"/>
        <x:v>0</x:v>
      </x:c>
      <x:c r="R82" s="162" t="str">
        <x:f t="shared" si="112"/>
        <x:v>X</x:v>
      </x:c>
      <x:c r="S82" s="216"/>
      <x:c r="T82" s="327"/>
      <x:c r="U82" s="217"/>
      <x:c r="V82" s="203"/>
      <x:c r="W82" s="217"/>
      <x:c r="X82" s="217"/>
      <x:c r="Y82" s="162" t="str">
        <x:f t="shared" si="113"/>
        <x:v/>
      </x:c>
      <x:c r="Z82" s="45"/>
      <x:c r="AA82" s="471" t="str">
        <x:f t="shared" si="114"/>
        <x:v/>
      </x:c>
      <x:c r="AB82" s="471" t="str">
        <x:f t="shared" si="115"/>
        <x:v/>
      </x:c>
      <x:c r="AC82" s="471" t="str">
        <x:f t="shared" si="116"/>
        <x:v/>
      </x:c>
      <x:c r="AD82" s="471" t="str">
        <x:f t="shared" si="117"/>
        <x:v/>
      </x:c>
      <x:c r="AE82" s="46"/>
      <x:c r="AF82" s="471" t="str">
        <x:f t="shared" si="118"/>
        <x:v/>
      </x:c>
      <x:c r="AG82" s="471" t="str">
        <x:f t="shared" si="119"/>
        <x:v/>
      </x:c>
      <x:c r="AH82" s="471" t="str">
        <x:f t="shared" si="120"/>
        <x:v/>
      </x:c>
      <x:c r="AI82" s="471" t="str">
        <x:f t="shared" si="121"/>
        <x:v/>
      </x:c>
      <x:c r="AJ82" s="87"/>
      <x:c r="AK82" s="374" t="str">
        <x:f>IF($AQ82="","",IF(OR($AL82="",$AL82="도비"),"",CONCATENATE($AQ82,"-",COUNTIF($AQ$8:$AQ82,$AQ82))))</x:f>
        <x:v/>
      </x:c>
      <x:c r="AL82" s="374" t="str">
        <x:f t="shared" si="122"/>
        <x:v/>
      </x:c>
      <x:c r="AM82" s="87"/>
      <x:c r="AN82" s="375" t="str">
        <x:f>IF($AQ82="","",IF(OR($AO82="",$AO82="국비",$AO82="자체"),"",CONCATENATE($AQ82,"-",$AO82,"-",COUNTIF($AQ$8:$AQ82,$AQ82))))</x:f>
        <x:v/>
      </x:c>
      <x:c r="AO82" s="375" t="str">
        <x:f t="shared" si="123"/>
        <x:v/>
      </x:c>
      <x:c r="AP82" s="87"/>
      <x:c r="AQ82" s="374" t="str">
        <x:f t="array" ref="AQ82:AQ82">IF(OR($D82="",$C82="직접입력",$B82="직접입력"),"",INDEX(구분표!$I$2:$I$337,MATCH(1,(구분표!$G$2:$G$337='3. 일입'!$B82)*(구분표!$E$2:$E$337='3. 일입'!$C82)*(구분표!$F$2:$F$337='3. 일입'!$D82),0)))</x:f>
        <x:v/>
      </x:c>
      <x:c r="AR82" s="87"/>
      <x:c r="AS82" s="472" t="str">
        <x:f>IF($AK82="","",SUMIFS('3. 일출(의존)'!$AB$7:$AB$1989,'3. 일출(의존)'!$AN$7:$AN$1989,$AK82))</x:f>
        <x:v/>
      </x:c>
      <x:c r="AT82" s="377" t="str">
        <x:f>IF($AK82="","",COUNTIF('3. 일출(의존)'!$AN$7:$AN$1989,$AK82))</x:f>
        <x:v/>
      </x:c>
      <x:c r="AU82" s="374" t="str">
        <x:f t="shared" si="124"/>
        <x:v/>
      </x:c>
      <x:c r="AV82" s="472" t="str">
        <x:f>IF($AN82="","",IF($AO82="지역개발기금",SUMIFS('3. 일출(의존)'!$AE$8:$AE$2000,'3. 일출(의존)'!$AS$8:$AS$2000,$AN82)+SUMIFS('3. 일출(자체)'!$AE$8:$AE$2000,'3. 일출(자체)'!$AM$8:$AM$2000,$AN82),IF($AO82="지방채",SUMIFS('3. 일출(의존)'!$AD$8:$AD$2000,'3. 일출(의존)'!$AS$8:$AS$2000,$AN82)+SUMIFS('3. 일출(자체)'!$AD$8:$AD$2000,'3. 일출(자체)'!$AM$8:$AM$2000,$AN82),0)))</x:f>
        <x:v/>
      </x:c>
      <x:c r="AW82" s="377" t="str">
        <x:f>IF($AN82="","",COUNTIF('3. 일출(의존)'!$AS$8:$AS$2000,$AN82)+COUNTIF('3. 일출(자체)'!$AM$8:$AM$2000,$AN82))</x:f>
        <x:v/>
      </x:c>
      <x:c r="AX82" s="374" t="str">
        <x:f t="shared" si="125"/>
        <x:v/>
      </x:c>
      <x:c r="AY82" s="91"/>
      <x:c r="AZ82" s="472" t="str">
        <x:f>IF($AK82="","",SUMIFS('3. 일출(의존)'!$AH$8:$AH$1989,'3. 일출(의존)'!$AN$8:$AN$1989,$AK82))</x:f>
        <x:v/>
      </x:c>
      <x:c r="BA82" s="377" t="str">
        <x:f>IF($AK82="","",COUNTIF('3. 일출(의존)'!$AN$7:$AN$1989,$AK82))</x:f>
        <x:v/>
      </x:c>
      <x:c r="BB82" s="374" t="str">
        <x:f t="shared" si="126"/>
        <x:v/>
      </x:c>
      <x:c r="BC82" s="472" t="str">
        <x:f>IF($AN82="","",IF($AO82="지역개발기금",SUMIFS('3. 일출(의존)'!$AK$8:$AK$2000,'3. 일출(의존)'!$AS$8:$AS$2000,$AN82)+SUMIFS('3. 일출(자체)'!$AJ$8:$AJ$2000,'3. 일출(자체)'!$AM$8:$AM$2000,$AN82),IF($AO82="지방채",SUMIFS('3. 일출(의존)'!$AJ$8:$AJ$2000,'3. 일출(의존)'!$AS$8:$AS$2000,$AN82)+SUMIFS('3. 일출(자체)'!$AI$8:$AI$2000,'3. 일출(자체)'!$AM$8:$AM$2000,$AN82),0)))</x:f>
        <x:v/>
      </x:c>
      <x:c r="BD82" s="377" t="str">
        <x:f>IF($AN82="","",COUNTIF('3. 일출(의존)'!$AS$8:$AS$2000,$AN82)+COUNTIF('3. 일출(자체)'!$AM$8:$AM$2000,$AN82))</x:f>
        <x:v/>
      </x:c>
      <x:c r="BE82" s="374" t="str">
        <x:f t="shared" si="127"/>
        <x:v/>
      </x:c>
    </x:row>
    <x:row r="83" spans="1:57" s="20" customFormat="1" ht="80.099999999999994" customHeight="1">
      <x:c r="A83" s="155" t="str">
        <x:f>IF(D83="","",COUNTA($C$8:C83)-COUNTBLANK($C$8:C83)+5)</x:f>
        <x:v/>
      </x:c>
      <x:c r="B83" s="156" t="str">
        <x: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x:f>
        <x:v/>
      </x:c>
      <x:c r="C83" s="156" t="str">
        <x:f>IF(D83="","",IF(OR(D83="교육지원과",D83="총무과",D83="인사과"),"직접입력",VLOOKUP(D83,구분표!$A$3:$C$258,3,)))</x:f>
        <x:v/>
      </x:c>
      <x:c r="D83" s="219"/>
      <x:c r="E83" s="213"/>
      <x:c r="F83" s="388" t="str">
        <x:f t="shared" si="128"/>
        <x:v/>
      </x:c>
      <x:c r="G83" s="388" t="str">
        <x:f t="shared" si="128"/>
        <x:v/>
      </x:c>
      <x:c r="H83" s="213"/>
      <x:c r="I83" s="156" t="str">
        <x:f>IF(H83="","",VLOOKUP($H83,구분표!$O$3:$P$168,2,FALSE))</x:f>
        <x:v/>
      </x:c>
      <x:c r="J83" s="215"/>
      <x:c r="K83" s="459" t="str">
        <x:f t="shared" si="129"/>
        <x:v/>
      </x:c>
      <x:c r="L83" s="459" t="str">
        <x:f t="shared" si="130"/>
        <x:v/>
      </x:c>
      <x:c r="M83" s="461" t="str">
        <x:f t="shared" si="109"/>
        <x:v/>
      </x:c>
      <x:c r="N83" s="460"/>
      <x:c r="O83" s="461">
        <x:f t="shared" si="110"/>
        <x:v>0</x:v>
      </x:c>
      <x:c r="P83" s="462"/>
      <x:c r="Q83" s="463">
        <x:f t="shared" si="111"/>
        <x:v>0</x:v>
      </x:c>
      <x:c r="R83" s="162" t="str">
        <x:f t="shared" si="112"/>
        <x:v>X</x:v>
      </x:c>
      <x:c r="S83" s="216"/>
      <x:c r="T83" s="327"/>
      <x:c r="U83" s="217"/>
      <x:c r="V83" s="203"/>
      <x:c r="W83" s="217"/>
      <x:c r="X83" s="217"/>
      <x:c r="Y83" s="162" t="str">
        <x:f t="shared" si="113"/>
        <x:v/>
      </x:c>
      <x:c r="Z83" s="45"/>
      <x:c r="AA83" s="471" t="str">
        <x:f t="shared" si="114"/>
        <x:v/>
      </x:c>
      <x:c r="AB83" s="471" t="str">
        <x:f t="shared" si="115"/>
        <x:v/>
      </x:c>
      <x:c r="AC83" s="471" t="str">
        <x:f t="shared" si="116"/>
        <x:v/>
      </x:c>
      <x:c r="AD83" s="471" t="str">
        <x:f t="shared" si="117"/>
        <x:v/>
      </x:c>
      <x:c r="AE83" s="46"/>
      <x:c r="AF83" s="471" t="str">
        <x:f t="shared" si="118"/>
        <x:v/>
      </x:c>
      <x:c r="AG83" s="471" t="str">
        <x:f t="shared" si="119"/>
        <x:v/>
      </x:c>
      <x:c r="AH83" s="471" t="str">
        <x:f t="shared" si="120"/>
        <x:v/>
      </x:c>
      <x:c r="AI83" s="471" t="str">
        <x:f t="shared" si="121"/>
        <x:v/>
      </x:c>
      <x:c r="AJ83" s="87"/>
      <x:c r="AK83" s="374" t="str">
        <x:f>IF($AQ83="","",IF(OR($AL83="",$AL83="도비"),"",CONCATENATE($AQ83,"-",COUNTIF($AQ$8:$AQ83,$AQ83))))</x:f>
        <x:v/>
      </x:c>
      <x:c r="AL83" s="374" t="str">
        <x:f t="shared" si="122"/>
        <x:v/>
      </x:c>
      <x:c r="AM83" s="87"/>
      <x:c r="AN83" s="375" t="str">
        <x:f>IF($AQ83="","",IF(OR($AO83="",$AO83="국비",$AO83="자체"),"",CONCATENATE($AQ83,"-",$AO83,"-",COUNTIF($AQ$8:$AQ83,$AQ83))))</x:f>
        <x:v/>
      </x:c>
      <x:c r="AO83" s="375" t="str">
        <x:f t="shared" si="123"/>
        <x:v/>
      </x:c>
      <x:c r="AP83" s="87"/>
      <x:c r="AQ83" s="374" t="str">
        <x:f t="array" ref="AQ83:AQ83">IF(OR($D83="",$C83="직접입력",$B83="직접입력"),"",INDEX(구분표!$I$2:$I$337,MATCH(1,(구분표!$G$2:$G$337='3. 일입'!$B83)*(구분표!$E$2:$E$337='3. 일입'!$C83)*(구분표!$F$2:$F$337='3. 일입'!$D83),0)))</x:f>
        <x:v/>
      </x:c>
      <x:c r="AR83" s="87"/>
      <x:c r="AS83" s="472" t="str">
        <x:f>IF($AK83="","",SUMIFS('3. 일출(의존)'!$AB$7:$AB$1989,'3. 일출(의존)'!$AN$7:$AN$1989,$AK83))</x:f>
        <x:v/>
      </x:c>
      <x:c r="AT83" s="377" t="str">
        <x:f>IF($AK83="","",COUNTIF('3. 일출(의존)'!$AN$7:$AN$1989,$AK83))</x:f>
        <x:v/>
      </x:c>
      <x:c r="AU83" s="374" t="str">
        <x:f t="shared" si="124"/>
        <x:v/>
      </x:c>
      <x:c r="AV83" s="472" t="str">
        <x:f>IF($AN83="","",IF($AO83="지역개발기금",SUMIFS('3. 일출(의존)'!$AE$8:$AE$2000,'3. 일출(의존)'!$AS$8:$AS$2000,$AN83)+SUMIFS('3. 일출(자체)'!$AE$8:$AE$2000,'3. 일출(자체)'!$AM$8:$AM$2000,$AN83),IF($AO83="지방채",SUMIFS('3. 일출(의존)'!$AD$8:$AD$2000,'3. 일출(의존)'!$AS$8:$AS$2000,$AN83)+SUMIFS('3. 일출(자체)'!$AD$8:$AD$2000,'3. 일출(자체)'!$AM$8:$AM$2000,$AN83),0)))</x:f>
        <x:v/>
      </x:c>
      <x:c r="AW83" s="377" t="str">
        <x:f>IF($AN83="","",COUNTIF('3. 일출(의존)'!$AS$8:$AS$2000,$AN83)+COUNTIF('3. 일출(자체)'!$AM$8:$AM$2000,$AN83))</x:f>
        <x:v/>
      </x:c>
      <x:c r="AX83" s="374" t="str">
        <x:f t="shared" si="125"/>
        <x:v/>
      </x:c>
      <x:c r="AY83" s="91"/>
      <x:c r="AZ83" s="472" t="str">
        <x:f>IF($AK83="","",SUMIFS('3. 일출(의존)'!$AH$8:$AH$1989,'3. 일출(의존)'!$AN$8:$AN$1989,$AK83))</x:f>
        <x:v/>
      </x:c>
      <x:c r="BA83" s="377" t="str">
        <x:f>IF($AK83="","",COUNTIF('3. 일출(의존)'!$AN$7:$AN$1989,$AK83))</x:f>
        <x:v/>
      </x:c>
      <x:c r="BB83" s="374" t="str">
        <x:f t="shared" si="126"/>
        <x:v/>
      </x:c>
      <x:c r="BC83" s="472" t="str">
        <x:f>IF($AN83="","",IF($AO83="지역개발기금",SUMIFS('3. 일출(의존)'!$AK$8:$AK$2000,'3. 일출(의존)'!$AS$8:$AS$2000,$AN83)+SUMIFS('3. 일출(자체)'!$AJ$8:$AJ$2000,'3. 일출(자체)'!$AM$8:$AM$2000,$AN83),IF($AO83="지방채",SUMIFS('3. 일출(의존)'!$AJ$8:$AJ$2000,'3. 일출(의존)'!$AS$8:$AS$2000,$AN83)+SUMIFS('3. 일출(자체)'!$AI$8:$AI$2000,'3. 일출(자체)'!$AM$8:$AM$2000,$AN83),0)))</x:f>
        <x:v/>
      </x:c>
      <x:c r="BD83" s="377" t="str">
        <x:f>IF($AN83="","",COUNTIF('3. 일출(의존)'!$AS$8:$AS$2000,$AN83)+COUNTIF('3. 일출(자체)'!$AM$8:$AM$2000,$AN83))</x:f>
        <x:v/>
      </x:c>
      <x:c r="BE83" s="374" t="str">
        <x:f t="shared" si="127"/>
        <x:v/>
      </x:c>
    </x:row>
    <x:row r="84" spans="1:57" s="20" customFormat="1" ht="80.099999999999994" customHeight="1">
      <x:c r="A84" s="155" t="str">
        <x:f>IF(D84="","",COUNTA($C$8:C84)-COUNTBLANK($C$8:C84)+5)</x:f>
        <x:v/>
      </x:c>
      <x:c r="B84" s="156" t="str">
        <x: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x:f>
        <x:v/>
      </x:c>
      <x:c r="C84" s="156" t="str">
        <x:f>IF(D84="","",IF(OR(D84="교육지원과",D84="총무과",D84="인사과"),"직접입력",VLOOKUP(D84,구분표!$A$3:$C$258,3,)))</x:f>
        <x:v/>
      </x:c>
      <x:c r="D84" s="219"/>
      <x:c r="E84" s="213"/>
      <x:c r="F84" s="388" t="str">
        <x:f t="shared" si="128"/>
        <x:v/>
      </x:c>
      <x:c r="G84" s="388" t="str">
        <x:f t="shared" si="128"/>
        <x:v/>
      </x:c>
      <x:c r="H84" s="213"/>
      <x:c r="I84" s="156" t="str">
        <x:f>IF(H84="","",VLOOKUP($H84,구분표!$O$3:$P$168,2,FALSE))</x:f>
        <x:v/>
      </x:c>
      <x:c r="J84" s="215"/>
      <x:c r="K84" s="459" t="str">
        <x:f t="shared" si="129"/>
        <x:v/>
      </x:c>
      <x:c r="L84" s="459" t="str">
        <x:f t="shared" si="130"/>
        <x:v/>
      </x:c>
      <x:c r="M84" s="461" t="str">
        <x:f t="shared" si="109"/>
        <x:v/>
      </x:c>
      <x:c r="N84" s="460"/>
      <x:c r="O84" s="461">
        <x:f t="shared" si="110"/>
        <x:v>0</x:v>
      </x:c>
      <x:c r="P84" s="462"/>
      <x:c r="Q84" s="463">
        <x:f t="shared" si="111"/>
        <x:v>0</x:v>
      </x:c>
      <x:c r="R84" s="162" t="str">
        <x:f t="shared" si="112"/>
        <x:v>X</x:v>
      </x:c>
      <x:c r="S84" s="216"/>
      <x:c r="T84" s="327"/>
      <x:c r="U84" s="217"/>
      <x:c r="V84" s="203"/>
      <x:c r="W84" s="217"/>
      <x:c r="X84" s="217"/>
      <x:c r="Y84" s="162" t="str">
        <x:f t="shared" si="113"/>
        <x:v/>
      </x:c>
      <x:c r="Z84" s="45"/>
      <x:c r="AA84" s="471" t="str">
        <x:f t="shared" si="114"/>
        <x:v/>
      </x:c>
      <x:c r="AB84" s="471" t="str">
        <x:f t="shared" si="115"/>
        <x:v/>
      </x:c>
      <x:c r="AC84" s="471" t="str">
        <x:f t="shared" si="116"/>
        <x:v/>
      </x:c>
      <x:c r="AD84" s="471" t="str">
        <x:f t="shared" si="117"/>
        <x:v/>
      </x:c>
      <x:c r="AE84" s="46"/>
      <x:c r="AF84" s="471" t="str">
        <x:f t="shared" si="118"/>
        <x:v/>
      </x:c>
      <x:c r="AG84" s="471" t="str">
        <x:f t="shared" si="119"/>
        <x:v/>
      </x:c>
      <x:c r="AH84" s="471" t="str">
        <x:f t="shared" si="120"/>
        <x:v/>
      </x:c>
      <x:c r="AI84" s="471" t="str">
        <x:f t="shared" si="121"/>
        <x:v/>
      </x:c>
      <x:c r="AJ84" s="87"/>
      <x:c r="AK84" s="374" t="str">
        <x:f>IF($AQ84="","",IF(OR($AL84="",$AL84="도비"),"",CONCATENATE($AQ84,"-",COUNTIF($AQ$8:$AQ84,$AQ84))))</x:f>
        <x:v/>
      </x:c>
      <x:c r="AL84" s="374" t="str">
        <x:f t="shared" si="122"/>
        <x:v/>
      </x:c>
      <x:c r="AM84" s="87"/>
      <x:c r="AN84" s="375" t="str">
        <x:f>IF($AQ84="","",IF(OR($AO84="",$AO84="국비",$AO84="자체"),"",CONCATENATE($AQ84,"-",$AO84,"-",COUNTIF($AQ$8:$AQ84,$AQ84))))</x:f>
        <x:v/>
      </x:c>
      <x:c r="AO84" s="375" t="str">
        <x:f t="shared" si="123"/>
        <x:v/>
      </x:c>
      <x:c r="AP84" s="87"/>
      <x:c r="AQ84" s="374" t="str">
        <x:f t="array" ref="AQ84:AQ84">IF(OR($D84="",$C84="직접입력",$B84="직접입력"),"",INDEX(구분표!$I$2:$I$337,MATCH(1,(구분표!$G$2:$G$337='3. 일입'!$B84)*(구분표!$E$2:$E$337='3. 일입'!$C84)*(구분표!$F$2:$F$337='3. 일입'!$D84),0)))</x:f>
        <x:v/>
      </x:c>
      <x:c r="AR84" s="87"/>
      <x:c r="AS84" s="472" t="str">
        <x:f>IF($AK84="","",SUMIFS('3. 일출(의존)'!$AB$7:$AB$1989,'3. 일출(의존)'!$AN$7:$AN$1989,$AK84))</x:f>
        <x:v/>
      </x:c>
      <x:c r="AT84" s="377" t="str">
        <x:f>IF($AK84="","",COUNTIF('3. 일출(의존)'!$AN$7:$AN$1989,$AK84))</x:f>
        <x:v/>
      </x:c>
      <x:c r="AU84" s="374" t="str">
        <x:f t="shared" si="124"/>
        <x:v/>
      </x:c>
      <x:c r="AV84" s="472" t="str">
        <x:f>IF($AN84="","",IF($AO84="지역개발기금",SUMIFS('3. 일출(의존)'!$AE$8:$AE$2000,'3. 일출(의존)'!$AS$8:$AS$2000,$AN84)+SUMIFS('3. 일출(자체)'!$AE$8:$AE$2000,'3. 일출(자체)'!$AM$8:$AM$2000,$AN84),IF($AO84="지방채",SUMIFS('3. 일출(의존)'!$AD$8:$AD$2000,'3. 일출(의존)'!$AS$8:$AS$2000,$AN84)+SUMIFS('3. 일출(자체)'!$AD$8:$AD$2000,'3. 일출(자체)'!$AM$8:$AM$2000,$AN84),0)))</x:f>
        <x:v/>
      </x:c>
      <x:c r="AW84" s="377" t="str">
        <x:f>IF($AN84="","",COUNTIF('3. 일출(의존)'!$AS$8:$AS$2000,$AN84)+COUNTIF('3. 일출(자체)'!$AM$8:$AM$2000,$AN84))</x:f>
        <x:v/>
      </x:c>
      <x:c r="AX84" s="374" t="str">
        <x:f t="shared" si="125"/>
        <x:v/>
      </x:c>
      <x:c r="AY84" s="91"/>
      <x:c r="AZ84" s="472" t="str">
        <x:f>IF($AK84="","",SUMIFS('3. 일출(의존)'!$AH$8:$AH$1989,'3. 일출(의존)'!$AN$8:$AN$1989,$AK84))</x:f>
        <x:v/>
      </x:c>
      <x:c r="BA84" s="377" t="str">
        <x:f>IF($AK84="","",COUNTIF('3. 일출(의존)'!$AN$7:$AN$1989,$AK84))</x:f>
        <x:v/>
      </x:c>
      <x:c r="BB84" s="374" t="str">
        <x:f t="shared" si="126"/>
        <x:v/>
      </x:c>
      <x:c r="BC84" s="472" t="str">
        <x:f>IF($AN84="","",IF($AO84="지역개발기금",SUMIFS('3. 일출(의존)'!$AK$8:$AK$2000,'3. 일출(의존)'!$AS$8:$AS$2000,$AN84)+SUMIFS('3. 일출(자체)'!$AJ$8:$AJ$2000,'3. 일출(자체)'!$AM$8:$AM$2000,$AN84),IF($AO84="지방채",SUMIFS('3. 일출(의존)'!$AJ$8:$AJ$2000,'3. 일출(의존)'!$AS$8:$AS$2000,$AN84)+SUMIFS('3. 일출(자체)'!$AI$8:$AI$2000,'3. 일출(자체)'!$AM$8:$AM$2000,$AN84),0)))</x:f>
        <x:v/>
      </x:c>
      <x:c r="BD84" s="377" t="str">
        <x:f>IF($AN84="","",COUNTIF('3. 일출(의존)'!$AS$8:$AS$2000,$AN84)+COUNTIF('3. 일출(자체)'!$AM$8:$AM$2000,$AN84))</x:f>
        <x:v/>
      </x:c>
      <x:c r="BE84" s="374" t="str">
        <x:f t="shared" si="127"/>
        <x:v/>
      </x:c>
    </x:row>
    <x:row r="85" spans="1:57" s="20" customFormat="1" ht="80.099999999999994" customHeight="1">
      <x:c r="A85" s="155" t="str">
        <x:f>IF(D85="","",COUNTA($C$8:C85)-COUNTBLANK($C$8:C85)+5)</x:f>
        <x:v/>
      </x:c>
      <x:c r="B85" s="156" t="str">
        <x: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x:f>
        <x:v/>
      </x:c>
      <x:c r="C85" s="156" t="str">
        <x:f>IF(D85="","",IF(OR(D85="교육지원과",D85="총무과",D85="인사과"),"직접입력",VLOOKUP(D85,구분표!$A$3:$C$258,3,)))</x:f>
        <x:v/>
      </x:c>
      <x:c r="D85" s="219"/>
      <x:c r="E85" s="213"/>
      <x:c r="F85" s="388" t="str">
        <x:f t="shared" si="128"/>
        <x:v/>
      </x:c>
      <x:c r="G85" s="388" t="str">
        <x:f t="shared" si="128"/>
        <x:v/>
      </x:c>
      <x:c r="H85" s="213"/>
      <x:c r="I85" s="156" t="str">
        <x:f>IF(H85="","",VLOOKUP($H85,구분표!$O$3:$P$168,2,FALSE))</x:f>
        <x:v/>
      </x:c>
      <x:c r="J85" s="215"/>
      <x:c r="K85" s="459" t="str">
        <x:f t="shared" si="129"/>
        <x:v/>
      </x:c>
      <x:c r="L85" s="459" t="str">
        <x:f t="shared" si="130"/>
        <x:v/>
      </x:c>
      <x:c r="M85" s="461" t="str">
        <x:f t="shared" si="109"/>
        <x:v/>
      </x:c>
      <x:c r="N85" s="460"/>
      <x:c r="O85" s="461">
        <x:f t="shared" si="110"/>
        <x:v>0</x:v>
      </x:c>
      <x:c r="P85" s="462"/>
      <x:c r="Q85" s="463">
        <x:f t="shared" si="111"/>
        <x:v>0</x:v>
      </x:c>
      <x:c r="R85" s="162" t="str">
        <x:f t="shared" si="112"/>
        <x:v>X</x:v>
      </x:c>
      <x:c r="S85" s="216"/>
      <x:c r="T85" s="327"/>
      <x:c r="U85" s="217"/>
      <x:c r="V85" s="203"/>
      <x:c r="W85" s="217"/>
      <x:c r="X85" s="217"/>
      <x:c r="Y85" s="162" t="str">
        <x:f t="shared" si="113"/>
        <x:v/>
      </x:c>
      <x:c r="Z85" s="45"/>
      <x:c r="AA85" s="471" t="str">
        <x:f t="shared" si="114"/>
        <x:v/>
      </x:c>
      <x:c r="AB85" s="471" t="str">
        <x:f t="shared" si="115"/>
        <x:v/>
      </x:c>
      <x:c r="AC85" s="471" t="str">
        <x:f t="shared" si="116"/>
        <x:v/>
      </x:c>
      <x:c r="AD85" s="471" t="str">
        <x:f t="shared" si="117"/>
        <x:v/>
      </x:c>
      <x:c r="AE85" s="46"/>
      <x:c r="AF85" s="471" t="str">
        <x:f t="shared" si="118"/>
        <x:v/>
      </x:c>
      <x:c r="AG85" s="471" t="str">
        <x:f t="shared" si="119"/>
        <x:v/>
      </x:c>
      <x:c r="AH85" s="471" t="str">
        <x:f t="shared" si="120"/>
        <x:v/>
      </x:c>
      <x:c r="AI85" s="471" t="str">
        <x:f t="shared" si="121"/>
        <x:v/>
      </x:c>
      <x:c r="AJ85" s="87"/>
      <x:c r="AK85" s="374" t="str">
        <x:f>IF($AQ85="","",IF(OR($AL85="",$AL85="도비"),"",CONCATENATE($AQ85,"-",COUNTIF($AQ$8:$AQ85,$AQ85))))</x:f>
        <x:v/>
      </x:c>
      <x:c r="AL85" s="374" t="str">
        <x:f t="shared" si="122"/>
        <x:v/>
      </x:c>
      <x:c r="AM85" s="87"/>
      <x:c r="AN85" s="375" t="str">
        <x:f>IF($AQ85="","",IF(OR($AO85="",$AO85="국비",$AO85="자체"),"",CONCATENATE($AQ85,"-",$AO85,"-",COUNTIF($AQ$8:$AQ85,$AQ85))))</x:f>
        <x:v/>
      </x:c>
      <x:c r="AO85" s="375" t="str">
        <x:f t="shared" si="123"/>
        <x:v/>
      </x:c>
      <x:c r="AP85" s="87"/>
      <x:c r="AQ85" s="374" t="str">
        <x:f t="array" ref="AQ85:AQ85">IF(OR($D85="",$C85="직접입력",$B85="직접입력"),"",INDEX(구분표!$I$2:$I$337,MATCH(1,(구분표!$G$2:$G$337='3. 일입'!$B85)*(구분표!$E$2:$E$337='3. 일입'!$C85)*(구분표!$F$2:$F$337='3. 일입'!$D85),0)))</x:f>
        <x:v/>
      </x:c>
      <x:c r="AR85" s="87"/>
      <x:c r="AS85" s="472" t="str">
        <x:f>IF($AK85="","",SUMIFS('3. 일출(의존)'!$AB$7:$AB$1989,'3. 일출(의존)'!$AN$7:$AN$1989,$AK85))</x:f>
        <x:v/>
      </x:c>
      <x:c r="AT85" s="377" t="str">
        <x:f>IF($AK85="","",COUNTIF('3. 일출(의존)'!$AN$7:$AN$1989,$AK85))</x:f>
        <x:v/>
      </x:c>
      <x:c r="AU85" s="374" t="str">
        <x:f t="shared" si="124"/>
        <x:v/>
      </x:c>
      <x:c r="AV85" s="472" t="str">
        <x:f>IF($AN85="","",IF($AO85="지역개발기금",SUMIFS('3. 일출(의존)'!$AE$8:$AE$2000,'3. 일출(의존)'!$AS$8:$AS$2000,$AN85)+SUMIFS('3. 일출(자체)'!$AE$8:$AE$2000,'3. 일출(자체)'!$AM$8:$AM$2000,$AN85),IF($AO85="지방채",SUMIFS('3. 일출(의존)'!$AD$8:$AD$2000,'3. 일출(의존)'!$AS$8:$AS$2000,$AN85)+SUMIFS('3. 일출(자체)'!$AD$8:$AD$2000,'3. 일출(자체)'!$AM$8:$AM$2000,$AN85),0)))</x:f>
        <x:v/>
      </x:c>
      <x:c r="AW85" s="377" t="str">
        <x:f>IF($AN85="","",COUNTIF('3. 일출(의존)'!$AS$8:$AS$2000,$AN85)+COUNTIF('3. 일출(자체)'!$AM$8:$AM$2000,$AN85))</x:f>
        <x:v/>
      </x:c>
      <x:c r="AX85" s="374" t="str">
        <x:f t="shared" si="125"/>
        <x:v/>
      </x:c>
      <x:c r="AY85" s="91"/>
      <x:c r="AZ85" s="472" t="str">
        <x:f>IF($AK85="","",SUMIFS('3. 일출(의존)'!$AH$8:$AH$1989,'3. 일출(의존)'!$AN$8:$AN$1989,$AK85))</x:f>
        <x:v/>
      </x:c>
      <x:c r="BA85" s="377" t="str">
        <x:f>IF($AK85="","",COUNTIF('3. 일출(의존)'!$AN$7:$AN$1989,$AK85))</x:f>
        <x:v/>
      </x:c>
      <x:c r="BB85" s="374" t="str">
        <x:f t="shared" si="126"/>
        <x:v/>
      </x:c>
      <x:c r="BC85" s="472" t="str">
        <x:f>IF($AN85="","",IF($AO85="지역개발기금",SUMIFS('3. 일출(의존)'!$AK$8:$AK$2000,'3. 일출(의존)'!$AS$8:$AS$2000,$AN85)+SUMIFS('3. 일출(자체)'!$AJ$8:$AJ$2000,'3. 일출(자체)'!$AM$8:$AM$2000,$AN85),IF($AO85="지방채",SUMIFS('3. 일출(의존)'!$AJ$8:$AJ$2000,'3. 일출(의존)'!$AS$8:$AS$2000,$AN85)+SUMIFS('3. 일출(자체)'!$AI$8:$AI$2000,'3. 일출(자체)'!$AM$8:$AM$2000,$AN85),0)))</x:f>
        <x:v/>
      </x:c>
      <x:c r="BD85" s="377" t="str">
        <x:f>IF($AN85="","",COUNTIF('3. 일출(의존)'!$AS$8:$AS$2000,$AN85)+COUNTIF('3. 일출(자체)'!$AM$8:$AM$2000,$AN85))</x:f>
        <x:v/>
      </x:c>
      <x:c r="BE85" s="374" t="str">
        <x:f t="shared" si="127"/>
        <x:v/>
      </x:c>
    </x:row>
    <x:row r="86" spans="1:57" s="20" customFormat="1" ht="80.099999999999994" customHeight="1">
      <x:c r="A86" s="155" t="str">
        <x:f>IF(D86="","",COUNTA($C$8:C86)-COUNTBLANK($C$8:C86)+5)</x:f>
        <x:v/>
      </x:c>
      <x:c r="B86" s="156" t="str">
        <x: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x:f>
        <x:v/>
      </x:c>
      <x:c r="C86" s="156" t="str">
        <x:f>IF(D86="","",IF(OR(D86="교육지원과",D86="총무과",D86="인사과"),"직접입력",VLOOKUP(D86,구분표!$A$3:$C$258,3,)))</x:f>
        <x:v/>
      </x:c>
      <x:c r="D86" s="219"/>
      <x:c r="E86" s="213"/>
      <x:c r="F86" s="388" t="str">
        <x:f t="shared" si="128"/>
        <x:v/>
      </x:c>
      <x:c r="G86" s="388" t="str">
        <x:f t="shared" si="128"/>
        <x:v/>
      </x:c>
      <x:c r="H86" s="213"/>
      <x:c r="I86" s="156" t="str">
        <x:f>IF(H86="","",VLOOKUP($H86,구분표!$O$3:$P$168,2,FALSE))</x:f>
        <x:v/>
      </x:c>
      <x:c r="J86" s="215"/>
      <x:c r="K86" s="459" t="str">
        <x:f t="shared" si="129"/>
        <x:v/>
      </x:c>
      <x:c r="L86" s="459" t="str">
        <x:f t="shared" si="130"/>
        <x:v/>
      </x:c>
      <x:c r="M86" s="461" t="str">
        <x:f t="shared" si="109"/>
        <x:v/>
      </x:c>
      <x:c r="N86" s="460"/>
      <x:c r="O86" s="461">
        <x:f t="shared" si="110"/>
        <x:v>0</x:v>
      </x:c>
      <x:c r="P86" s="462"/>
      <x:c r="Q86" s="463">
        <x:f t="shared" si="111"/>
        <x:v>0</x:v>
      </x:c>
      <x:c r="R86" s="162" t="str">
        <x:f t="shared" si="112"/>
        <x:v>X</x:v>
      </x:c>
      <x:c r="S86" s="216"/>
      <x:c r="T86" s="327"/>
      <x:c r="U86" s="217"/>
      <x:c r="V86" s="203"/>
      <x:c r="W86" s="217"/>
      <x:c r="X86" s="217"/>
      <x:c r="Y86" s="162" t="str">
        <x:f t="shared" si="113"/>
        <x:v/>
      </x:c>
      <x:c r="Z86" s="45"/>
      <x:c r="AA86" s="471" t="str">
        <x:f t="shared" si="114"/>
        <x:v/>
      </x:c>
      <x:c r="AB86" s="471" t="str">
        <x:f t="shared" si="115"/>
        <x:v/>
      </x:c>
      <x:c r="AC86" s="471" t="str">
        <x:f t="shared" si="116"/>
        <x:v/>
      </x:c>
      <x:c r="AD86" s="471" t="str">
        <x:f t="shared" si="117"/>
        <x:v/>
      </x:c>
      <x:c r="AE86" s="46"/>
      <x:c r="AF86" s="471" t="str">
        <x:f t="shared" si="118"/>
        <x:v/>
      </x:c>
      <x:c r="AG86" s="471" t="str">
        <x:f t="shared" si="119"/>
        <x:v/>
      </x:c>
      <x:c r="AH86" s="471" t="str">
        <x:f t="shared" si="120"/>
        <x:v/>
      </x:c>
      <x:c r="AI86" s="471" t="str">
        <x:f t="shared" si="121"/>
        <x:v/>
      </x:c>
      <x:c r="AJ86" s="87"/>
      <x:c r="AK86" s="374" t="str">
        <x:f>IF($AQ86="","",IF(OR($AL86="",$AL86="도비"),"",CONCATENATE($AQ86,"-",COUNTIF($AQ$8:$AQ86,$AQ86))))</x:f>
        <x:v/>
      </x:c>
      <x:c r="AL86" s="374" t="str">
        <x:f t="shared" si="122"/>
        <x:v/>
      </x:c>
      <x:c r="AM86" s="87"/>
      <x:c r="AN86" s="375" t="str">
        <x:f>IF($AQ86="","",IF(OR($AO86="",$AO86="국비",$AO86="자체"),"",CONCATENATE($AQ86,"-",$AO86,"-",COUNTIF($AQ$8:$AQ86,$AQ86))))</x:f>
        <x:v/>
      </x:c>
      <x:c r="AO86" s="375" t="str">
        <x:f t="shared" si="123"/>
        <x:v/>
      </x:c>
      <x:c r="AP86" s="87"/>
      <x:c r="AQ86" s="374" t="str">
        <x:f t="array" ref="AQ86:AQ86">IF(OR($D86="",$C86="직접입력",$B86="직접입력"),"",INDEX(구분표!$I$2:$I$337,MATCH(1,(구분표!$G$2:$G$337='3. 일입'!$B86)*(구분표!$E$2:$E$337='3. 일입'!$C86)*(구분표!$F$2:$F$337='3. 일입'!$D86),0)))</x:f>
        <x:v/>
      </x:c>
      <x:c r="AR86" s="87"/>
      <x:c r="AS86" s="472" t="str">
        <x:f>IF($AK86="","",SUMIFS('3. 일출(의존)'!$AB$7:$AB$1989,'3. 일출(의존)'!$AN$7:$AN$1989,$AK86))</x:f>
        <x:v/>
      </x:c>
      <x:c r="AT86" s="377" t="str">
        <x:f>IF($AK86="","",COUNTIF('3. 일출(의존)'!$AN$7:$AN$1989,$AK86))</x:f>
        <x:v/>
      </x:c>
      <x:c r="AU86" s="374" t="str">
        <x:f t="shared" si="124"/>
        <x:v/>
      </x:c>
      <x:c r="AV86" s="472" t="str">
        <x:f>IF($AN86="","",IF($AO86="지역개발기금",SUMIFS('3. 일출(의존)'!$AE$8:$AE$2000,'3. 일출(의존)'!$AS$8:$AS$2000,$AN86)+SUMIFS('3. 일출(자체)'!$AE$8:$AE$2000,'3. 일출(자체)'!$AM$8:$AM$2000,$AN86),IF($AO86="지방채",SUMIFS('3. 일출(의존)'!$AD$8:$AD$2000,'3. 일출(의존)'!$AS$8:$AS$2000,$AN86)+SUMIFS('3. 일출(자체)'!$AD$8:$AD$2000,'3. 일출(자체)'!$AM$8:$AM$2000,$AN86),0)))</x:f>
        <x:v/>
      </x:c>
      <x:c r="AW86" s="377" t="str">
        <x:f>IF($AN86="","",COUNTIF('3. 일출(의존)'!$AS$8:$AS$2000,$AN86)+COUNTIF('3. 일출(자체)'!$AM$8:$AM$2000,$AN86))</x:f>
        <x:v/>
      </x:c>
      <x:c r="AX86" s="374" t="str">
        <x:f t="shared" si="125"/>
        <x:v/>
      </x:c>
      <x:c r="AY86" s="91"/>
      <x:c r="AZ86" s="472" t="str">
        <x:f>IF($AK86="","",SUMIFS('3. 일출(의존)'!$AH$8:$AH$1989,'3. 일출(의존)'!$AN$8:$AN$1989,$AK86))</x:f>
        <x:v/>
      </x:c>
      <x:c r="BA86" s="377" t="str">
        <x:f>IF($AK86="","",COUNTIF('3. 일출(의존)'!$AN$7:$AN$1989,$AK86))</x:f>
        <x:v/>
      </x:c>
      <x:c r="BB86" s="374" t="str">
        <x:f t="shared" si="126"/>
        <x:v/>
      </x:c>
      <x:c r="BC86" s="472" t="str">
        <x:f>IF($AN86="","",IF($AO86="지역개발기금",SUMIFS('3. 일출(의존)'!$AK$8:$AK$2000,'3. 일출(의존)'!$AS$8:$AS$2000,$AN86)+SUMIFS('3. 일출(자체)'!$AJ$8:$AJ$2000,'3. 일출(자체)'!$AM$8:$AM$2000,$AN86),IF($AO86="지방채",SUMIFS('3. 일출(의존)'!$AJ$8:$AJ$2000,'3. 일출(의존)'!$AS$8:$AS$2000,$AN86)+SUMIFS('3. 일출(자체)'!$AI$8:$AI$2000,'3. 일출(자체)'!$AM$8:$AM$2000,$AN86),0)))</x:f>
        <x:v/>
      </x:c>
      <x:c r="BD86" s="377" t="str">
        <x:f>IF($AN86="","",COUNTIF('3. 일출(의존)'!$AS$8:$AS$2000,$AN86)+COUNTIF('3. 일출(자체)'!$AM$8:$AM$2000,$AN86))</x:f>
        <x:v/>
      </x:c>
      <x:c r="BE86" s="374" t="str">
        <x:f t="shared" si="127"/>
        <x:v/>
      </x:c>
    </x:row>
    <x:row r="87" spans="1:57" s="20" customFormat="1" ht="80.099999999999994" customHeight="1">
      <x:c r="A87" s="155" t="str">
        <x:f>IF(D87="","",COUNTA($C$8:C87)-COUNTBLANK($C$8:C87)+5)</x:f>
        <x:v/>
      </x:c>
      <x:c r="B87" s="156" t="str">
        <x:f>IF(D87="","",IF(OR(C87="직접입력",D87="북부지원"),"직접입력",IF(OR(AND(D87="인사과",C87="의회사무처"),AND(D87="총무과",C87="의회사무처")),"의회운영위원회",IF(OR(C87="직접입력",D87="북부지원"),"직접입력",IF(OR(AND(D87="인사과",C87="자치행정국"),AND(D87="총무과",C87="자치행정국")),"안전행정위원회",VLOOKUP(D87,구분표!$A$3:$C$258,2,))))))</x:f>
        <x:v/>
      </x:c>
      <x:c r="C87" s="156" t="str">
        <x:f>IF(D87="","",IF(OR(D87="교육지원과",D87="총무과",D87="인사과"),"직접입력",VLOOKUP(D87,구분표!$A$3:$C$258,3,)))</x:f>
        <x:v/>
      </x:c>
      <x:c r="D87" s="219"/>
      <x:c r="E87" s="213"/>
      <x:c r="F87" s="388" t="str">
        <x:f t="shared" si="128"/>
        <x:v/>
      </x:c>
      <x:c r="G87" s="388" t="str">
        <x:f t="shared" si="128"/>
        <x:v/>
      </x:c>
      <x:c r="H87" s="213"/>
      <x:c r="I87" s="156" t="str">
        <x:f>IF(H87="","",VLOOKUP($H87,구분표!$O$3:$P$168,2,FALSE))</x:f>
        <x:v/>
      </x:c>
      <x:c r="J87" s="215"/>
      <x:c r="K87" s="459" t="str">
        <x:f t="shared" si="129"/>
        <x:v/>
      </x:c>
      <x:c r="L87" s="459" t="str">
        <x:f t="shared" si="130"/>
        <x:v/>
      </x:c>
      <x:c r="M87" s="461" t="str">
        <x:f t="shared" si="109"/>
        <x:v/>
      </x:c>
      <x:c r="N87" s="460"/>
      <x:c r="O87" s="461">
        <x:f t="shared" si="110"/>
        <x:v>0</x:v>
      </x:c>
      <x:c r="P87" s="462"/>
      <x:c r="Q87" s="463">
        <x:f t="shared" si="111"/>
        <x:v>0</x:v>
      </x:c>
      <x:c r="R87" s="162" t="str">
        <x:f t="shared" si="112"/>
        <x:v>X</x:v>
      </x:c>
      <x:c r="S87" s="216"/>
      <x:c r="T87" s="327"/>
      <x:c r="U87" s="217"/>
      <x:c r="V87" s="203"/>
      <x:c r="W87" s="217"/>
      <x:c r="X87" s="217"/>
      <x:c r="Y87" s="162" t="str">
        <x:f t="shared" si="113"/>
        <x:v/>
      </x:c>
      <x:c r="Z87" s="45"/>
      <x:c r="AA87" s="471" t="str">
        <x:f t="shared" si="114"/>
        <x:v/>
      </x:c>
      <x:c r="AB87" s="471" t="str">
        <x:f t="shared" si="115"/>
        <x:v/>
      </x:c>
      <x:c r="AC87" s="471" t="str">
        <x:f t="shared" si="116"/>
        <x:v/>
      </x:c>
      <x:c r="AD87" s="471" t="str">
        <x:f t="shared" si="117"/>
        <x:v/>
      </x:c>
      <x:c r="AE87" s="46"/>
      <x:c r="AF87" s="471" t="str">
        <x:f t="shared" si="118"/>
        <x:v/>
      </x:c>
      <x:c r="AG87" s="471" t="str">
        <x:f t="shared" si="119"/>
        <x:v/>
      </x:c>
      <x:c r="AH87" s="471" t="str">
        <x:f t="shared" si="120"/>
        <x:v/>
      </x:c>
      <x:c r="AI87" s="471" t="str">
        <x:f t="shared" si="121"/>
        <x:v/>
      </x:c>
      <x:c r="AJ87" s="87"/>
      <x:c r="AK87" s="374" t="str">
        <x:f>IF($AQ87="","",IF(OR($AL87="",$AL87="도비"),"",CONCATENATE($AQ87,"-",COUNTIF($AQ$8:$AQ87,$AQ87))))</x:f>
        <x:v/>
      </x:c>
      <x:c r="AL87" s="374" t="str">
        <x:f t="shared" si="122"/>
        <x:v/>
      </x:c>
      <x:c r="AM87" s="87"/>
      <x:c r="AN87" s="375" t="str">
        <x:f>IF($AQ87="","",IF(OR($AO87="",$AO87="국비",$AO87="자체"),"",CONCATENATE($AQ87,"-",$AO87,"-",COUNTIF($AQ$8:$AQ87,$AQ87))))</x:f>
        <x:v/>
      </x:c>
      <x:c r="AO87" s="375" t="str">
        <x:f t="shared" si="123"/>
        <x:v/>
      </x:c>
      <x:c r="AP87" s="87"/>
      <x:c r="AQ87" s="374" t="str">
        <x:f t="array" ref="AQ87:AQ87">IF(OR($D87="",$C87="직접입력",$B87="직접입력"),"",INDEX(구분표!$I$2:$I$337,MATCH(1,(구분표!$G$2:$G$337='3. 일입'!$B87)*(구분표!$E$2:$E$337='3. 일입'!$C87)*(구분표!$F$2:$F$337='3. 일입'!$D87),0)))</x:f>
        <x:v/>
      </x:c>
      <x:c r="AR87" s="87"/>
      <x:c r="AS87" s="472" t="str">
        <x:f>IF($AK87="","",SUMIFS('3. 일출(의존)'!$AB$7:$AB$1989,'3. 일출(의존)'!$AN$7:$AN$1989,$AK87))</x:f>
        <x:v/>
      </x:c>
      <x:c r="AT87" s="377" t="str">
        <x:f>IF($AK87="","",COUNTIF('3. 일출(의존)'!$AN$7:$AN$1989,$AK87))</x:f>
        <x:v/>
      </x:c>
      <x:c r="AU87" s="374" t="str">
        <x:f t="shared" si="124"/>
        <x:v/>
      </x:c>
      <x:c r="AV87" s="472" t="str">
        <x:f>IF($AN87="","",IF($AO87="지역개발기금",SUMIFS('3. 일출(의존)'!$AE$8:$AE$2000,'3. 일출(의존)'!$AS$8:$AS$2000,$AN87)+SUMIFS('3. 일출(자체)'!$AE$8:$AE$2000,'3. 일출(자체)'!$AM$8:$AM$2000,$AN87),IF($AO87="지방채",SUMIFS('3. 일출(의존)'!$AD$8:$AD$2000,'3. 일출(의존)'!$AS$8:$AS$2000,$AN87)+SUMIFS('3. 일출(자체)'!$AD$8:$AD$2000,'3. 일출(자체)'!$AM$8:$AM$2000,$AN87),0)))</x:f>
        <x:v/>
      </x:c>
      <x:c r="AW87" s="377" t="str">
        <x:f>IF($AN87="","",COUNTIF('3. 일출(의존)'!$AS$8:$AS$2000,$AN87)+COUNTIF('3. 일출(자체)'!$AM$8:$AM$2000,$AN87))</x:f>
        <x:v/>
      </x:c>
      <x:c r="AX87" s="374" t="str">
        <x:f t="shared" si="125"/>
        <x:v/>
      </x:c>
      <x:c r="AY87" s="91"/>
      <x:c r="AZ87" s="472" t="str">
        <x:f>IF($AK87="","",SUMIFS('3. 일출(의존)'!$AH$8:$AH$1989,'3. 일출(의존)'!$AN$8:$AN$1989,$AK87))</x:f>
        <x:v/>
      </x:c>
      <x:c r="BA87" s="377" t="str">
        <x:f>IF($AK87="","",COUNTIF('3. 일출(의존)'!$AN$7:$AN$1989,$AK87))</x:f>
        <x:v/>
      </x:c>
      <x:c r="BB87" s="374" t="str">
        <x:f t="shared" si="126"/>
        <x:v/>
      </x:c>
      <x:c r="BC87" s="472" t="str">
        <x:f>IF($AN87="","",IF($AO87="지역개발기금",SUMIFS('3. 일출(의존)'!$AK$8:$AK$2000,'3. 일출(의존)'!$AS$8:$AS$2000,$AN87)+SUMIFS('3. 일출(자체)'!$AJ$8:$AJ$2000,'3. 일출(자체)'!$AM$8:$AM$2000,$AN87),IF($AO87="지방채",SUMIFS('3. 일출(의존)'!$AJ$8:$AJ$2000,'3. 일출(의존)'!$AS$8:$AS$2000,$AN87)+SUMIFS('3. 일출(자체)'!$AI$8:$AI$2000,'3. 일출(자체)'!$AM$8:$AM$2000,$AN87),0)))</x:f>
        <x:v/>
      </x:c>
      <x:c r="BD87" s="377" t="str">
        <x:f>IF($AN87="","",COUNTIF('3. 일출(의존)'!$AS$8:$AS$2000,$AN87)+COUNTIF('3. 일출(자체)'!$AM$8:$AM$2000,$AN87))</x:f>
        <x:v/>
      </x:c>
      <x:c r="BE87" s="374" t="str">
        <x:f t="shared" si="127"/>
        <x:v/>
      </x:c>
    </x:row>
    <x:row r="88" spans="1:57" s="20" customFormat="1" ht="80.099999999999994" customHeight="1">
      <x:c r="A88" s="155" t="str">
        <x:f>IF(D88="","",COUNTA($C$8:C88)-COUNTBLANK($C$8:C88)+5)</x:f>
        <x:v/>
      </x:c>
      <x:c r="B88" s="156" t="str">
        <x: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x:f>
        <x:v/>
      </x:c>
      <x:c r="C88" s="156" t="str">
        <x:f>IF(D88="","",IF(OR(D88="교육지원과",D88="총무과",D88="인사과"),"직접입력",VLOOKUP(D88,구분표!$A$3:$C$258,3,)))</x:f>
        <x:v/>
      </x:c>
      <x:c r="D88" s="219"/>
      <x:c r="E88" s="213"/>
      <x:c r="F88" s="388" t="str">
        <x:f t="shared" si="128"/>
        <x:v/>
      </x:c>
      <x:c r="G88" s="388" t="str">
        <x:f t="shared" si="128"/>
        <x:v/>
      </x:c>
      <x:c r="H88" s="213"/>
      <x:c r="I88" s="156" t="str">
        <x:f>IF(H88="","",VLOOKUP($H88,구분표!$O$3:$P$168,2,FALSE))</x:f>
        <x:v/>
      </x:c>
      <x:c r="J88" s="215"/>
      <x:c r="K88" s="459" t="str">
        <x:f t="shared" si="129"/>
        <x:v/>
      </x:c>
      <x:c r="L88" s="459" t="str">
        <x:f t="shared" si="130"/>
        <x:v/>
      </x:c>
      <x:c r="M88" s="461" t="str">
        <x:f t="shared" si="109"/>
        <x:v/>
      </x:c>
      <x:c r="N88" s="460"/>
      <x:c r="O88" s="461">
        <x:f t="shared" si="110"/>
        <x:v>0</x:v>
      </x:c>
      <x:c r="P88" s="462"/>
      <x:c r="Q88" s="463">
        <x:f t="shared" si="111"/>
        <x:v>0</x:v>
      </x:c>
      <x:c r="R88" s="162" t="str">
        <x:f t="shared" si="112"/>
        <x:v>X</x:v>
      </x:c>
      <x:c r="S88" s="216"/>
      <x:c r="T88" s="327"/>
      <x:c r="U88" s="217"/>
      <x:c r="V88" s="203"/>
      <x:c r="W88" s="217"/>
      <x:c r="X88" s="217"/>
      <x:c r="Y88" s="162" t="str">
        <x:f t="shared" si="113"/>
        <x:v/>
      </x:c>
      <x:c r="Z88" s="45"/>
      <x:c r="AA88" s="471" t="str">
        <x:f t="shared" si="114"/>
        <x:v/>
      </x:c>
      <x:c r="AB88" s="471" t="str">
        <x:f t="shared" si="115"/>
        <x:v/>
      </x:c>
      <x:c r="AC88" s="471" t="str">
        <x:f t="shared" si="116"/>
        <x:v/>
      </x:c>
      <x:c r="AD88" s="471" t="str">
        <x:f t="shared" si="117"/>
        <x:v/>
      </x:c>
      <x:c r="AE88" s="46"/>
      <x:c r="AF88" s="471" t="str">
        <x:f t="shared" si="118"/>
        <x:v/>
      </x:c>
      <x:c r="AG88" s="471" t="str">
        <x:f t="shared" si="119"/>
        <x:v/>
      </x:c>
      <x:c r="AH88" s="471" t="str">
        <x:f t="shared" si="120"/>
        <x:v/>
      </x:c>
      <x:c r="AI88" s="471" t="str">
        <x:f t="shared" si="121"/>
        <x:v/>
      </x:c>
      <x:c r="AJ88" s="87"/>
      <x:c r="AK88" s="374" t="str">
        <x:f>IF($AQ88="","",IF(OR($AL88="",$AL88="도비"),"",CONCATENATE($AQ88,"-",COUNTIF($AQ$8:$AQ88,$AQ88))))</x:f>
        <x:v/>
      </x:c>
      <x:c r="AL88" s="374" t="str">
        <x:f t="shared" si="122"/>
        <x:v/>
      </x:c>
      <x:c r="AM88" s="87"/>
      <x:c r="AN88" s="375" t="str">
        <x:f>IF($AQ88="","",IF(OR($AO88="",$AO88="국비",$AO88="자체"),"",CONCATENATE($AQ88,"-",$AO88,"-",COUNTIF($AQ$8:$AQ88,$AQ88))))</x:f>
        <x:v/>
      </x:c>
      <x:c r="AO88" s="375" t="str">
        <x:f t="shared" si="123"/>
        <x:v/>
      </x:c>
      <x:c r="AP88" s="87"/>
      <x:c r="AQ88" s="374" t="str">
        <x:f t="array" ref="AQ88:AQ88">IF(OR($D88="",$C88="직접입력",$B88="직접입력"),"",INDEX(구분표!$I$2:$I$337,MATCH(1,(구분표!$G$2:$G$337='3. 일입'!$B88)*(구분표!$E$2:$E$337='3. 일입'!$C88)*(구분표!$F$2:$F$337='3. 일입'!$D88),0)))</x:f>
        <x:v/>
      </x:c>
      <x:c r="AR88" s="87"/>
      <x:c r="AS88" s="472" t="str">
        <x:f>IF($AK88="","",SUMIFS('3. 일출(의존)'!$AB$7:$AB$1989,'3. 일출(의존)'!$AN$7:$AN$1989,$AK88))</x:f>
        <x:v/>
      </x:c>
      <x:c r="AT88" s="377" t="str">
        <x:f>IF($AK88="","",COUNTIF('3. 일출(의존)'!$AN$7:$AN$1989,$AK88))</x:f>
        <x:v/>
      </x:c>
      <x:c r="AU88" s="374" t="str">
        <x:f t="shared" si="124"/>
        <x:v/>
      </x:c>
      <x:c r="AV88" s="472" t="str">
        <x:f>IF($AN88="","",IF($AO88="지역개발기금",SUMIFS('3. 일출(의존)'!$AE$8:$AE$2000,'3. 일출(의존)'!$AS$8:$AS$2000,$AN88)+SUMIFS('3. 일출(자체)'!$AE$8:$AE$2000,'3. 일출(자체)'!$AM$8:$AM$2000,$AN88),IF($AO88="지방채",SUMIFS('3. 일출(의존)'!$AD$8:$AD$2000,'3. 일출(의존)'!$AS$8:$AS$2000,$AN88)+SUMIFS('3. 일출(자체)'!$AD$8:$AD$2000,'3. 일출(자체)'!$AM$8:$AM$2000,$AN88),0)))</x:f>
        <x:v/>
      </x:c>
      <x:c r="AW88" s="377" t="str">
        <x:f>IF($AN88="","",COUNTIF('3. 일출(의존)'!$AS$8:$AS$2000,$AN88)+COUNTIF('3. 일출(자체)'!$AM$8:$AM$2000,$AN88))</x:f>
        <x:v/>
      </x:c>
      <x:c r="AX88" s="374" t="str">
        <x:f t="shared" si="125"/>
        <x:v/>
      </x:c>
      <x:c r="AY88" s="91"/>
      <x:c r="AZ88" s="472" t="str">
        <x:f>IF($AK88="","",SUMIFS('3. 일출(의존)'!$AH$8:$AH$1989,'3. 일출(의존)'!$AN$8:$AN$1989,$AK88))</x:f>
        <x:v/>
      </x:c>
      <x:c r="BA88" s="377" t="str">
        <x:f>IF($AK88="","",COUNTIF('3. 일출(의존)'!$AN$7:$AN$1989,$AK88))</x:f>
        <x:v/>
      </x:c>
      <x:c r="BB88" s="374" t="str">
        <x:f t="shared" si="126"/>
        <x:v/>
      </x:c>
      <x:c r="BC88" s="472" t="str">
        <x:f>IF($AN88="","",IF($AO88="지역개발기금",SUMIFS('3. 일출(의존)'!$AK$8:$AK$2000,'3. 일출(의존)'!$AS$8:$AS$2000,$AN88)+SUMIFS('3. 일출(자체)'!$AJ$8:$AJ$2000,'3. 일출(자체)'!$AM$8:$AM$2000,$AN88),IF($AO88="지방채",SUMIFS('3. 일출(의존)'!$AJ$8:$AJ$2000,'3. 일출(의존)'!$AS$8:$AS$2000,$AN88)+SUMIFS('3. 일출(자체)'!$AI$8:$AI$2000,'3. 일출(자체)'!$AM$8:$AM$2000,$AN88),0)))</x:f>
        <x:v/>
      </x:c>
      <x:c r="BD88" s="377" t="str">
        <x:f>IF($AN88="","",COUNTIF('3. 일출(의존)'!$AS$8:$AS$2000,$AN88)+COUNTIF('3. 일출(자체)'!$AM$8:$AM$2000,$AN88))</x:f>
        <x:v/>
      </x:c>
      <x:c r="BE88" s="374" t="str">
        <x:f t="shared" si="127"/>
        <x:v/>
      </x:c>
    </x:row>
    <x:row r="89" spans="1:57" s="20" customFormat="1" ht="80.099999999999994" customHeight="1">
      <x:c r="A89" s="155" t="str">
        <x:f>IF(D89="","",COUNTA($C$8:C89)-COUNTBLANK($C$8:C89)+5)</x:f>
        <x:v/>
      </x:c>
      <x:c r="B89" s="156" t="str">
        <x: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x:f>
        <x:v/>
      </x:c>
      <x:c r="C89" s="156" t="str">
        <x:f>IF(D89="","",IF(OR(D89="교육지원과",D89="총무과",D89="인사과"),"직접입력",VLOOKUP(D89,구분표!$A$3:$C$258,3,)))</x:f>
        <x:v/>
      </x:c>
      <x:c r="D89" s="219"/>
      <x:c r="E89" s="213"/>
      <x:c r="F89" s="388" t="str">
        <x:f t="shared" si="128"/>
        <x:v/>
      </x:c>
      <x:c r="G89" s="388" t="str">
        <x:f t="shared" si="128"/>
        <x:v/>
      </x:c>
      <x:c r="H89" s="213"/>
      <x:c r="I89" s="156" t="str">
        <x:f>IF(H89="","",VLOOKUP($H89,구분표!$O$3:$P$168,2,FALSE))</x:f>
        <x:v/>
      </x:c>
      <x:c r="J89" s="215"/>
      <x:c r="K89" s="459" t="str">
        <x:f t="shared" si="129"/>
        <x:v/>
      </x:c>
      <x:c r="L89" s="459" t="str">
        <x:f t="shared" si="130"/>
        <x:v/>
      </x:c>
      <x:c r="M89" s="461" t="str">
        <x:f t="shared" si="109"/>
        <x:v/>
      </x:c>
      <x:c r="N89" s="460"/>
      <x:c r="O89" s="461">
        <x:f t="shared" si="110"/>
        <x:v>0</x:v>
      </x:c>
      <x:c r="P89" s="462"/>
      <x:c r="Q89" s="463">
        <x:f t="shared" si="111"/>
        <x:v>0</x:v>
      </x:c>
      <x:c r="R89" s="162" t="str">
        <x:f t="shared" si="112"/>
        <x:v>X</x:v>
      </x:c>
      <x:c r="S89" s="216"/>
      <x:c r="T89" s="327"/>
      <x:c r="U89" s="217"/>
      <x:c r="V89" s="203"/>
      <x:c r="W89" s="217"/>
      <x:c r="X89" s="217"/>
      <x:c r="Y89" s="162" t="str">
        <x:f t="shared" si="113"/>
        <x:v/>
      </x:c>
      <x:c r="Z89" s="45"/>
      <x:c r="AA89" s="471" t="str">
        <x:f t="shared" si="114"/>
        <x:v/>
      </x:c>
      <x:c r="AB89" s="471" t="str">
        <x:f t="shared" si="115"/>
        <x:v/>
      </x:c>
      <x:c r="AC89" s="471" t="str">
        <x:f t="shared" si="116"/>
        <x:v/>
      </x:c>
      <x:c r="AD89" s="471" t="str">
        <x:f t="shared" si="117"/>
        <x:v/>
      </x:c>
      <x:c r="AE89" s="46"/>
      <x:c r="AF89" s="471" t="str">
        <x:f t="shared" si="118"/>
        <x:v/>
      </x:c>
      <x:c r="AG89" s="471" t="str">
        <x:f t="shared" si="119"/>
        <x:v/>
      </x:c>
      <x:c r="AH89" s="471" t="str">
        <x:f t="shared" si="120"/>
        <x:v/>
      </x:c>
      <x:c r="AI89" s="471" t="str">
        <x:f t="shared" si="121"/>
        <x:v/>
      </x:c>
      <x:c r="AJ89" s="87"/>
      <x:c r="AK89" s="374" t="str">
        <x:f>IF($AQ89="","",IF(OR($AL89="",$AL89="도비"),"",CONCATENATE($AQ89,"-",COUNTIF($AQ$8:$AQ89,$AQ89))))</x:f>
        <x:v/>
      </x:c>
      <x:c r="AL89" s="374" t="str">
        <x:f t="shared" si="122"/>
        <x:v/>
      </x:c>
      <x:c r="AM89" s="87"/>
      <x:c r="AN89" s="375" t="str">
        <x:f>IF($AQ89="","",IF(OR($AO89="",$AO89="국비",$AO89="자체"),"",CONCATENATE($AQ89,"-",$AO89,"-",COUNTIF($AQ$8:$AQ89,$AQ89))))</x:f>
        <x:v/>
      </x:c>
      <x:c r="AO89" s="375" t="str">
        <x:f t="shared" si="123"/>
        <x:v/>
      </x:c>
      <x:c r="AP89" s="87"/>
      <x:c r="AQ89" s="374" t="str">
        <x:f t="array" ref="AQ89:AQ89">IF(OR($D89="",$C89="직접입력",$B89="직접입력"),"",INDEX(구분표!$I$2:$I$337,MATCH(1,(구분표!$G$2:$G$337='3. 일입'!$B89)*(구분표!$E$2:$E$337='3. 일입'!$C89)*(구분표!$F$2:$F$337='3. 일입'!$D89),0)))</x:f>
        <x:v/>
      </x:c>
      <x:c r="AR89" s="87"/>
      <x:c r="AS89" s="472" t="str">
        <x:f>IF($AK89="","",SUMIFS('3. 일출(의존)'!$AB$7:$AB$1989,'3. 일출(의존)'!$AN$7:$AN$1989,$AK89))</x:f>
        <x:v/>
      </x:c>
      <x:c r="AT89" s="377" t="str">
        <x:f>IF($AK89="","",COUNTIF('3. 일출(의존)'!$AN$7:$AN$1989,$AK89))</x:f>
        <x:v/>
      </x:c>
      <x:c r="AU89" s="374" t="str">
        <x:f t="shared" si="124"/>
        <x:v/>
      </x:c>
      <x:c r="AV89" s="472" t="str">
        <x:f>IF($AN89="","",IF($AO89="지역개발기금",SUMIFS('3. 일출(의존)'!$AE$8:$AE$2000,'3. 일출(의존)'!$AS$8:$AS$2000,$AN89)+SUMIFS('3. 일출(자체)'!$AE$8:$AE$2000,'3. 일출(자체)'!$AM$8:$AM$2000,$AN89),IF($AO89="지방채",SUMIFS('3. 일출(의존)'!$AD$8:$AD$2000,'3. 일출(의존)'!$AS$8:$AS$2000,$AN89)+SUMIFS('3. 일출(자체)'!$AD$8:$AD$2000,'3. 일출(자체)'!$AM$8:$AM$2000,$AN89),0)))</x:f>
        <x:v/>
      </x:c>
      <x:c r="AW89" s="377" t="str">
        <x:f>IF($AN89="","",COUNTIF('3. 일출(의존)'!$AS$8:$AS$2000,$AN89)+COUNTIF('3. 일출(자체)'!$AM$8:$AM$2000,$AN89))</x:f>
        <x:v/>
      </x:c>
      <x:c r="AX89" s="374" t="str">
        <x:f t="shared" si="125"/>
        <x:v/>
      </x:c>
      <x:c r="AY89" s="91"/>
      <x:c r="AZ89" s="472" t="str">
        <x:f>IF($AK89="","",SUMIFS('3. 일출(의존)'!$AH$8:$AH$1989,'3. 일출(의존)'!$AN$8:$AN$1989,$AK89))</x:f>
        <x:v/>
      </x:c>
      <x:c r="BA89" s="377" t="str">
        <x:f>IF($AK89="","",COUNTIF('3. 일출(의존)'!$AN$7:$AN$1989,$AK89))</x:f>
        <x:v/>
      </x:c>
      <x:c r="BB89" s="374" t="str">
        <x:f t="shared" si="126"/>
        <x:v/>
      </x:c>
      <x:c r="BC89" s="472" t="str">
        <x:f>IF($AN89="","",IF($AO89="지역개발기금",SUMIFS('3. 일출(의존)'!$AK$8:$AK$2000,'3. 일출(의존)'!$AS$8:$AS$2000,$AN89)+SUMIFS('3. 일출(자체)'!$AJ$8:$AJ$2000,'3. 일출(자체)'!$AM$8:$AM$2000,$AN89),IF($AO89="지방채",SUMIFS('3. 일출(의존)'!$AJ$8:$AJ$2000,'3. 일출(의존)'!$AS$8:$AS$2000,$AN89)+SUMIFS('3. 일출(자체)'!$AI$8:$AI$2000,'3. 일출(자체)'!$AM$8:$AM$2000,$AN89),0)))</x:f>
        <x:v/>
      </x:c>
      <x:c r="BD89" s="377" t="str">
        <x:f>IF($AN89="","",COUNTIF('3. 일출(의존)'!$AS$8:$AS$2000,$AN89)+COUNTIF('3. 일출(자체)'!$AM$8:$AM$2000,$AN89))</x:f>
        <x:v/>
      </x:c>
      <x:c r="BE89" s="374" t="str">
        <x:f t="shared" si="127"/>
        <x:v/>
      </x:c>
    </x:row>
    <x:row r="90" spans="1:57" s="20" customFormat="1" ht="80.099999999999994" customHeight="1">
      <x:c r="A90" s="155" t="str">
        <x:f>IF(D90="","",COUNTA($C$8:C90)-COUNTBLANK($C$8:C90)+5)</x:f>
        <x:v/>
      </x:c>
      <x:c r="B90" s="156" t="str">
        <x: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x:f>
        <x:v/>
      </x:c>
      <x:c r="C90" s="156" t="str">
        <x:f>IF(D90="","",IF(OR(D90="교육지원과",D90="총무과",D90="인사과"),"직접입력",VLOOKUP(D90,구분표!$A$3:$C$258,3,)))</x:f>
        <x:v/>
      </x:c>
      <x:c r="D90" s="219"/>
      <x:c r="E90" s="213"/>
      <x:c r="F90" s="388" t="str">
        <x:f t="shared" si="128"/>
        <x:v/>
      </x:c>
      <x:c r="G90" s="388" t="str">
        <x:f t="shared" si="128"/>
        <x:v/>
      </x:c>
      <x:c r="H90" s="213"/>
      <x:c r="I90" s="156" t="str">
        <x:f>IF(H90="","",VLOOKUP($H90,구분표!$O$3:$P$168,2,FALSE))</x:f>
        <x:v/>
      </x:c>
      <x:c r="J90" s="215"/>
      <x:c r="K90" s="459" t="str">
        <x:f t="shared" si="129"/>
        <x:v/>
      </x:c>
      <x:c r="L90" s="459" t="str">
        <x:f t="shared" si="130"/>
        <x:v/>
      </x:c>
      <x:c r="M90" s="461" t="str">
        <x:f t="shared" si="109"/>
        <x:v/>
      </x:c>
      <x:c r="N90" s="460"/>
      <x:c r="O90" s="461">
        <x:f t="shared" si="110"/>
        <x:v>0</x:v>
      </x:c>
      <x:c r="P90" s="462"/>
      <x:c r="Q90" s="463">
        <x:f t="shared" si="111"/>
        <x:v>0</x:v>
      </x:c>
      <x:c r="R90" s="162" t="str">
        <x:f t="shared" si="112"/>
        <x:v>X</x:v>
      </x:c>
      <x:c r="S90" s="216"/>
      <x:c r="T90" s="327"/>
      <x:c r="U90" s="217"/>
      <x:c r="V90" s="203"/>
      <x:c r="W90" s="217"/>
      <x:c r="X90" s="217"/>
      <x:c r="Y90" s="162" t="str">
        <x:f t="shared" si="113"/>
        <x:v/>
      </x:c>
      <x:c r="Z90" s="45"/>
      <x:c r="AA90" s="471" t="str">
        <x:f t="shared" si="114"/>
        <x:v/>
      </x:c>
      <x:c r="AB90" s="471" t="str">
        <x:f t="shared" si="115"/>
        <x:v/>
      </x:c>
      <x:c r="AC90" s="471" t="str">
        <x:f t="shared" si="116"/>
        <x:v/>
      </x:c>
      <x:c r="AD90" s="471" t="str">
        <x:f t="shared" si="117"/>
        <x:v/>
      </x:c>
      <x:c r="AE90" s="46"/>
      <x:c r="AF90" s="471" t="str">
        <x:f t="shared" si="118"/>
        <x:v/>
      </x:c>
      <x:c r="AG90" s="471" t="str">
        <x:f t="shared" si="119"/>
        <x:v/>
      </x:c>
      <x:c r="AH90" s="471" t="str">
        <x:f t="shared" si="120"/>
        <x:v/>
      </x:c>
      <x:c r="AI90" s="471" t="str">
        <x:f t="shared" si="121"/>
        <x:v/>
      </x:c>
      <x:c r="AJ90" s="87"/>
      <x:c r="AK90" s="374" t="str">
        <x:f>IF($AQ90="","",IF(OR($AL90="",$AL90="도비"),"",CONCATENATE($AQ90,"-",COUNTIF($AQ$8:$AQ90,$AQ90))))</x:f>
        <x:v/>
      </x:c>
      <x:c r="AL90" s="374" t="str">
        <x:f t="shared" si="122"/>
        <x:v/>
      </x:c>
      <x:c r="AM90" s="87"/>
      <x:c r="AN90" s="375" t="str">
        <x:f>IF($AQ90="","",IF(OR($AO90="",$AO90="국비",$AO90="자체"),"",CONCATENATE($AQ90,"-",$AO90,"-",COUNTIF($AQ$8:$AQ90,$AQ90))))</x:f>
        <x:v/>
      </x:c>
      <x:c r="AO90" s="375" t="str">
        <x:f t="shared" si="123"/>
        <x:v/>
      </x:c>
      <x:c r="AP90" s="87"/>
      <x:c r="AQ90" s="374" t="str">
        <x:f t="array" ref="AQ90:AQ90">IF(OR($D90="",$C90="직접입력",$B90="직접입력"),"",INDEX(구분표!$I$2:$I$337,MATCH(1,(구분표!$G$2:$G$337='3. 일입'!$B90)*(구분표!$E$2:$E$337='3. 일입'!$C90)*(구분표!$F$2:$F$337='3. 일입'!$D90),0)))</x:f>
        <x:v/>
      </x:c>
      <x:c r="AR90" s="87"/>
      <x:c r="AS90" s="472" t="str">
        <x:f>IF($AK90="","",SUMIFS('3. 일출(의존)'!$AB$7:$AB$1989,'3. 일출(의존)'!$AN$7:$AN$1989,$AK90))</x:f>
        <x:v/>
      </x:c>
      <x:c r="AT90" s="377" t="str">
        <x:f>IF($AK90="","",COUNTIF('3. 일출(의존)'!$AN$7:$AN$1989,$AK90))</x:f>
        <x:v/>
      </x:c>
      <x:c r="AU90" s="374" t="str">
        <x:f t="shared" si="124"/>
        <x:v/>
      </x:c>
      <x:c r="AV90" s="472" t="str">
        <x:f>IF($AN90="","",IF($AO90="지역개발기금",SUMIFS('3. 일출(의존)'!$AE$8:$AE$2000,'3. 일출(의존)'!$AS$8:$AS$2000,$AN90)+SUMIFS('3. 일출(자체)'!$AE$8:$AE$2000,'3. 일출(자체)'!$AM$8:$AM$2000,$AN90),IF($AO90="지방채",SUMIFS('3. 일출(의존)'!$AD$8:$AD$2000,'3. 일출(의존)'!$AS$8:$AS$2000,$AN90)+SUMIFS('3. 일출(자체)'!$AD$8:$AD$2000,'3. 일출(자체)'!$AM$8:$AM$2000,$AN90),0)))</x:f>
        <x:v/>
      </x:c>
      <x:c r="AW90" s="377" t="str">
        <x:f>IF($AN90="","",COUNTIF('3. 일출(의존)'!$AS$8:$AS$2000,$AN90)+COUNTIF('3. 일출(자체)'!$AM$8:$AM$2000,$AN90))</x:f>
        <x:v/>
      </x:c>
      <x:c r="AX90" s="374" t="str">
        <x:f t="shared" si="125"/>
        <x:v/>
      </x:c>
      <x:c r="AY90" s="91"/>
      <x:c r="AZ90" s="472" t="str">
        <x:f>IF($AK90="","",SUMIFS('3. 일출(의존)'!$AH$8:$AH$1989,'3. 일출(의존)'!$AN$8:$AN$1989,$AK90))</x:f>
        <x:v/>
      </x:c>
      <x:c r="BA90" s="377" t="str">
        <x:f>IF($AK90="","",COUNTIF('3. 일출(의존)'!$AN$7:$AN$1989,$AK90))</x:f>
        <x:v/>
      </x:c>
      <x:c r="BB90" s="374" t="str">
        <x:f t="shared" si="126"/>
        <x:v/>
      </x:c>
      <x:c r="BC90" s="472" t="str">
        <x:f>IF($AN90="","",IF($AO90="지역개발기금",SUMIFS('3. 일출(의존)'!$AK$8:$AK$2000,'3. 일출(의존)'!$AS$8:$AS$2000,$AN90)+SUMIFS('3. 일출(자체)'!$AJ$8:$AJ$2000,'3. 일출(자체)'!$AM$8:$AM$2000,$AN90),IF($AO90="지방채",SUMIFS('3. 일출(의존)'!$AJ$8:$AJ$2000,'3. 일출(의존)'!$AS$8:$AS$2000,$AN90)+SUMIFS('3. 일출(자체)'!$AI$8:$AI$2000,'3. 일출(자체)'!$AM$8:$AM$2000,$AN90),0)))</x:f>
        <x:v/>
      </x:c>
      <x:c r="BD90" s="377" t="str">
        <x:f>IF($AN90="","",COUNTIF('3. 일출(의존)'!$AS$8:$AS$2000,$AN90)+COUNTIF('3. 일출(자체)'!$AM$8:$AM$2000,$AN90))</x:f>
        <x:v/>
      </x:c>
      <x:c r="BE90" s="374" t="str">
        <x:f t="shared" si="127"/>
        <x:v/>
      </x:c>
    </x:row>
    <x:row r="91" spans="1:57" s="20" customFormat="1" ht="80.099999999999994" customHeight="1">
      <x:c r="A91" s="155" t="str">
        <x:f>IF(D91="","",COUNTA($C$8:C91)-COUNTBLANK($C$8:C91)+5)</x:f>
        <x:v/>
      </x:c>
      <x:c r="B91" s="156" t="str">
        <x: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x:f>
        <x:v/>
      </x:c>
      <x:c r="C91" s="156" t="str">
        <x:f>IF(D91="","",IF(OR(D91="교육지원과",D91="총무과",D91="인사과"),"직접입력",VLOOKUP(D91,구분표!$A$3:$C$258,3,)))</x:f>
        <x:v/>
      </x:c>
      <x:c r="D91" s="219"/>
      <x:c r="E91" s="213"/>
      <x:c r="F91" s="388" t="str">
        <x:f t="shared" si="128"/>
        <x:v/>
      </x:c>
      <x:c r="G91" s="388" t="str">
        <x:f t="shared" si="128"/>
        <x:v/>
      </x:c>
      <x:c r="H91" s="213"/>
      <x:c r="I91" s="156" t="str">
        <x:f>IF(H91="","",VLOOKUP($H91,구분표!$O$3:$P$168,2,FALSE))</x:f>
        <x:v/>
      </x:c>
      <x:c r="J91" s="215"/>
      <x:c r="K91" s="459" t="str">
        <x:f t="shared" si="129"/>
        <x:v/>
      </x:c>
      <x:c r="L91" s="459" t="str">
        <x:f t="shared" si="130"/>
        <x:v/>
      </x:c>
      <x:c r="M91" s="461" t="str">
        <x:f t="shared" si="109"/>
        <x:v/>
      </x:c>
      <x:c r="N91" s="460"/>
      <x:c r="O91" s="461">
        <x:f t="shared" si="110"/>
        <x:v>0</x:v>
      </x:c>
      <x:c r="P91" s="462"/>
      <x:c r="Q91" s="463">
        <x:f t="shared" si="111"/>
        <x:v>0</x:v>
      </x:c>
      <x:c r="R91" s="162" t="str">
        <x:f t="shared" si="112"/>
        <x:v>X</x:v>
      </x:c>
      <x:c r="S91" s="216"/>
      <x:c r="T91" s="327"/>
      <x:c r="U91" s="217"/>
      <x:c r="V91" s="203"/>
      <x:c r="W91" s="217"/>
      <x:c r="X91" s="217"/>
      <x:c r="Y91" s="162" t="str">
        <x:f t="shared" si="113"/>
        <x:v/>
      </x:c>
      <x:c r="Z91" s="45"/>
      <x:c r="AA91" s="471" t="str">
        <x:f t="shared" si="114"/>
        <x:v/>
      </x:c>
      <x:c r="AB91" s="471" t="str">
        <x:f t="shared" si="115"/>
        <x:v/>
      </x:c>
      <x:c r="AC91" s="471" t="str">
        <x:f t="shared" si="116"/>
        <x:v/>
      </x:c>
      <x:c r="AD91" s="471" t="str">
        <x:f t="shared" si="117"/>
        <x:v/>
      </x:c>
      <x:c r="AE91" s="46"/>
      <x:c r="AF91" s="471" t="str">
        <x:f t="shared" si="118"/>
        <x:v/>
      </x:c>
      <x:c r="AG91" s="471" t="str">
        <x:f t="shared" si="119"/>
        <x:v/>
      </x:c>
      <x:c r="AH91" s="471" t="str">
        <x:f t="shared" si="120"/>
        <x:v/>
      </x:c>
      <x:c r="AI91" s="471" t="str">
        <x:f t="shared" si="121"/>
        <x:v/>
      </x:c>
      <x:c r="AJ91" s="87"/>
      <x:c r="AK91" s="374" t="str">
        <x:f>IF($AQ91="","",IF(OR($AL91="",$AL91="도비"),"",CONCATENATE($AQ91,"-",COUNTIF($AQ$8:$AQ91,$AQ91))))</x:f>
        <x:v/>
      </x:c>
      <x:c r="AL91" s="374" t="str">
        <x:f t="shared" si="122"/>
        <x:v/>
      </x:c>
      <x:c r="AM91" s="87"/>
      <x:c r="AN91" s="375" t="str">
        <x:f>IF($AQ91="","",IF(OR($AO91="",$AO91="국비",$AO91="자체"),"",CONCATENATE($AQ91,"-",$AO91,"-",COUNTIF($AQ$8:$AQ91,$AQ91))))</x:f>
        <x:v/>
      </x:c>
      <x:c r="AO91" s="375" t="str">
        <x:f t="shared" si="123"/>
        <x:v/>
      </x:c>
      <x:c r="AP91" s="87"/>
      <x:c r="AQ91" s="374" t="str">
        <x:f t="array" ref="AQ91:AQ91">IF(OR($D91="",$C91="직접입력",$B91="직접입력"),"",INDEX(구분표!$I$2:$I$337,MATCH(1,(구분표!$G$2:$G$337='3. 일입'!$B91)*(구분표!$E$2:$E$337='3. 일입'!$C91)*(구분표!$F$2:$F$337='3. 일입'!$D91),0)))</x:f>
        <x:v/>
      </x:c>
      <x:c r="AR91" s="87"/>
      <x:c r="AS91" s="472" t="str">
        <x:f>IF($AK91="","",SUMIFS('3. 일출(의존)'!$AB$7:$AB$1989,'3. 일출(의존)'!$AN$7:$AN$1989,$AK91))</x:f>
        <x:v/>
      </x:c>
      <x:c r="AT91" s="377" t="str">
        <x:f>IF($AK91="","",COUNTIF('3. 일출(의존)'!$AN$7:$AN$1989,$AK91))</x:f>
        <x:v/>
      </x:c>
      <x:c r="AU91" s="374" t="str">
        <x:f t="shared" si="124"/>
        <x:v/>
      </x:c>
      <x:c r="AV91" s="472" t="str">
        <x:f>IF($AN91="","",IF($AO91="지역개발기금",SUMIFS('3. 일출(의존)'!$AE$8:$AE$2000,'3. 일출(의존)'!$AS$8:$AS$2000,$AN91)+SUMIFS('3. 일출(자체)'!$AE$8:$AE$2000,'3. 일출(자체)'!$AM$8:$AM$2000,$AN91),IF($AO91="지방채",SUMIFS('3. 일출(의존)'!$AD$8:$AD$2000,'3. 일출(의존)'!$AS$8:$AS$2000,$AN91)+SUMIFS('3. 일출(자체)'!$AD$8:$AD$2000,'3. 일출(자체)'!$AM$8:$AM$2000,$AN91),0)))</x:f>
        <x:v/>
      </x:c>
      <x:c r="AW91" s="377" t="str">
        <x:f>IF($AN91="","",COUNTIF('3. 일출(의존)'!$AS$8:$AS$2000,$AN91)+COUNTIF('3. 일출(자체)'!$AM$8:$AM$2000,$AN91))</x:f>
        <x:v/>
      </x:c>
      <x:c r="AX91" s="374" t="str">
        <x:f t="shared" si="125"/>
        <x:v/>
      </x:c>
      <x:c r="AY91" s="91"/>
      <x:c r="AZ91" s="472" t="str">
        <x:f>IF($AK91="","",SUMIFS('3. 일출(의존)'!$AH$8:$AH$1989,'3. 일출(의존)'!$AN$8:$AN$1989,$AK91))</x:f>
        <x:v/>
      </x:c>
      <x:c r="BA91" s="377" t="str">
        <x:f>IF($AK91="","",COUNTIF('3. 일출(의존)'!$AN$7:$AN$1989,$AK91))</x:f>
        <x:v/>
      </x:c>
      <x:c r="BB91" s="374" t="str">
        <x:f t="shared" si="126"/>
        <x:v/>
      </x:c>
      <x:c r="BC91" s="472" t="str">
        <x:f>IF($AN91="","",IF($AO91="지역개발기금",SUMIFS('3. 일출(의존)'!$AK$8:$AK$2000,'3. 일출(의존)'!$AS$8:$AS$2000,$AN91)+SUMIFS('3. 일출(자체)'!$AJ$8:$AJ$2000,'3. 일출(자체)'!$AM$8:$AM$2000,$AN91),IF($AO91="지방채",SUMIFS('3. 일출(의존)'!$AJ$8:$AJ$2000,'3. 일출(의존)'!$AS$8:$AS$2000,$AN91)+SUMIFS('3. 일출(자체)'!$AI$8:$AI$2000,'3. 일출(자체)'!$AM$8:$AM$2000,$AN91),0)))</x:f>
        <x:v/>
      </x:c>
      <x:c r="BD91" s="377" t="str">
        <x:f>IF($AN91="","",COUNTIF('3. 일출(의존)'!$AS$8:$AS$2000,$AN91)+COUNTIF('3. 일출(자체)'!$AM$8:$AM$2000,$AN91))</x:f>
        <x:v/>
      </x:c>
      <x:c r="BE91" s="374" t="str">
        <x:f t="shared" si="127"/>
        <x:v/>
      </x:c>
    </x:row>
    <x:row r="92" spans="1:57" s="20" customFormat="1" ht="80.099999999999994" customHeight="1">
      <x:c r="A92" s="155" t="str">
        <x:f>IF(D92="","",COUNTA($C$8:C92)-COUNTBLANK($C$8:C92)+5)</x:f>
        <x:v/>
      </x:c>
      <x:c r="B92" s="156" t="str">
        <x: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x:f>
        <x:v/>
      </x:c>
      <x:c r="C92" s="156" t="str">
        <x:f>IF(D92="","",IF(OR(D92="교육지원과",D92="총무과",D92="인사과"),"직접입력",VLOOKUP(D92,구분표!$A$3:$C$258,3,)))</x:f>
        <x:v/>
      </x:c>
      <x:c r="D92" s="219"/>
      <x:c r="E92" s="213"/>
      <x:c r="F92" s="388" t="str">
        <x:f t="shared" si="128"/>
        <x:v/>
      </x:c>
      <x:c r="G92" s="388" t="str">
        <x:f t="shared" si="128"/>
        <x:v/>
      </x:c>
      <x:c r="H92" s="213"/>
      <x:c r="I92" s="156" t="str">
        <x:f>IF(H92="","",VLOOKUP($H92,구분표!$O$3:$P$168,2,FALSE))</x:f>
        <x:v/>
      </x:c>
      <x:c r="J92" s="215"/>
      <x:c r="K92" s="459" t="str">
        <x:f t="shared" si="129"/>
        <x:v/>
      </x:c>
      <x:c r="L92" s="459" t="str">
        <x:f t="shared" si="130"/>
        <x:v/>
      </x:c>
      <x:c r="M92" s="461" t="str">
        <x:f t="shared" si="109"/>
        <x:v/>
      </x:c>
      <x:c r="N92" s="460"/>
      <x:c r="O92" s="461">
        <x:f t="shared" si="110"/>
        <x:v>0</x:v>
      </x:c>
      <x:c r="P92" s="462"/>
      <x:c r="Q92" s="463">
        <x:f t="shared" si="111"/>
        <x:v>0</x:v>
      </x:c>
      <x:c r="R92" s="162" t="str">
        <x:f t="shared" si="112"/>
        <x:v>X</x:v>
      </x:c>
      <x:c r="S92" s="216"/>
      <x:c r="T92" s="327"/>
      <x:c r="U92" s="217"/>
      <x:c r="V92" s="203"/>
      <x:c r="W92" s="217"/>
      <x:c r="X92" s="217"/>
      <x:c r="Y92" s="162" t="str">
        <x:f t="shared" si="113"/>
        <x:v/>
      </x:c>
      <x:c r="Z92" s="45"/>
      <x:c r="AA92" s="471" t="str">
        <x:f t="shared" si="114"/>
        <x:v/>
      </x:c>
      <x:c r="AB92" s="471" t="str">
        <x:f t="shared" si="115"/>
        <x:v/>
      </x:c>
      <x:c r="AC92" s="471" t="str">
        <x:f t="shared" si="116"/>
        <x:v/>
      </x:c>
      <x:c r="AD92" s="471" t="str">
        <x:f t="shared" si="117"/>
        <x:v/>
      </x:c>
      <x:c r="AE92" s="46"/>
      <x:c r="AF92" s="471" t="str">
        <x:f t="shared" si="118"/>
        <x:v/>
      </x:c>
      <x:c r="AG92" s="471" t="str">
        <x:f t="shared" si="119"/>
        <x:v/>
      </x:c>
      <x:c r="AH92" s="471" t="str">
        <x:f t="shared" si="120"/>
        <x:v/>
      </x:c>
      <x:c r="AI92" s="471" t="str">
        <x:f t="shared" si="121"/>
        <x:v/>
      </x:c>
      <x:c r="AJ92" s="87"/>
      <x:c r="AK92" s="374" t="str">
        <x:f>IF($AQ92="","",IF(OR($AL92="",$AL92="도비"),"",CONCATENATE($AQ92,"-",COUNTIF($AQ$8:$AQ92,$AQ92))))</x:f>
        <x:v/>
      </x:c>
      <x:c r="AL92" s="374" t="str">
        <x:f t="shared" si="122"/>
        <x:v/>
      </x:c>
      <x:c r="AM92" s="87"/>
      <x:c r="AN92" s="375" t="str">
        <x:f>IF($AQ92="","",IF(OR($AO92="",$AO92="국비",$AO92="자체"),"",CONCATENATE($AQ92,"-",$AO92,"-",COUNTIF($AQ$8:$AQ92,$AQ92))))</x:f>
        <x:v/>
      </x:c>
      <x:c r="AO92" s="375" t="str">
        <x:f t="shared" si="123"/>
        <x:v/>
      </x:c>
      <x:c r="AP92" s="87"/>
      <x:c r="AQ92" s="374" t="str">
        <x:f t="array" ref="AQ92:AQ92">IF(OR($D92="",$C92="직접입력",$B92="직접입력"),"",INDEX(구분표!$I$2:$I$337,MATCH(1,(구분표!$G$2:$G$337='3. 일입'!$B92)*(구분표!$E$2:$E$337='3. 일입'!$C92)*(구분표!$F$2:$F$337='3. 일입'!$D92),0)))</x:f>
        <x:v/>
      </x:c>
      <x:c r="AR92" s="87"/>
      <x:c r="AS92" s="472" t="str">
        <x:f>IF($AK92="","",SUMIFS('3. 일출(의존)'!$AB$7:$AB$1989,'3. 일출(의존)'!$AN$7:$AN$1989,$AK92))</x:f>
        <x:v/>
      </x:c>
      <x:c r="AT92" s="377" t="str">
        <x:f>IF($AK92="","",COUNTIF('3. 일출(의존)'!$AN$7:$AN$1989,$AK92))</x:f>
        <x:v/>
      </x:c>
      <x:c r="AU92" s="374" t="str">
        <x:f t="shared" si="124"/>
        <x:v/>
      </x:c>
      <x:c r="AV92" s="472" t="str">
        <x:f>IF($AN92="","",IF($AO92="지역개발기금",SUMIFS('3. 일출(의존)'!$AE$8:$AE$2000,'3. 일출(의존)'!$AS$8:$AS$2000,$AN92)+SUMIFS('3. 일출(자체)'!$AE$8:$AE$2000,'3. 일출(자체)'!$AM$8:$AM$2000,$AN92),IF($AO92="지방채",SUMIFS('3. 일출(의존)'!$AD$8:$AD$2000,'3. 일출(의존)'!$AS$8:$AS$2000,$AN92)+SUMIFS('3. 일출(자체)'!$AD$8:$AD$2000,'3. 일출(자체)'!$AM$8:$AM$2000,$AN92),0)))</x:f>
        <x:v/>
      </x:c>
      <x:c r="AW92" s="377" t="str">
        <x:f>IF($AN92="","",COUNTIF('3. 일출(의존)'!$AS$8:$AS$2000,$AN92)+COUNTIF('3. 일출(자체)'!$AM$8:$AM$2000,$AN92))</x:f>
        <x:v/>
      </x:c>
      <x:c r="AX92" s="374" t="str">
        <x:f t="shared" si="125"/>
        <x:v/>
      </x:c>
      <x:c r="AY92" s="91"/>
      <x:c r="AZ92" s="472" t="str">
        <x:f>IF($AK92="","",SUMIFS('3. 일출(의존)'!$AH$8:$AH$1989,'3. 일출(의존)'!$AN$8:$AN$1989,$AK92))</x:f>
        <x:v/>
      </x:c>
      <x:c r="BA92" s="377" t="str">
        <x:f>IF($AK92="","",COUNTIF('3. 일출(의존)'!$AN$7:$AN$1989,$AK92))</x:f>
        <x:v/>
      </x:c>
      <x:c r="BB92" s="374" t="str">
        <x:f t="shared" si="126"/>
        <x:v/>
      </x:c>
      <x:c r="BC92" s="472" t="str">
        <x:f>IF($AN92="","",IF($AO92="지역개발기금",SUMIFS('3. 일출(의존)'!$AK$8:$AK$2000,'3. 일출(의존)'!$AS$8:$AS$2000,$AN92)+SUMIFS('3. 일출(자체)'!$AJ$8:$AJ$2000,'3. 일출(자체)'!$AM$8:$AM$2000,$AN92),IF($AO92="지방채",SUMIFS('3. 일출(의존)'!$AJ$8:$AJ$2000,'3. 일출(의존)'!$AS$8:$AS$2000,$AN92)+SUMIFS('3. 일출(자체)'!$AI$8:$AI$2000,'3. 일출(자체)'!$AM$8:$AM$2000,$AN92),0)))</x:f>
        <x:v/>
      </x:c>
      <x:c r="BD92" s="377" t="str">
        <x:f>IF($AN92="","",COUNTIF('3. 일출(의존)'!$AS$8:$AS$2000,$AN92)+COUNTIF('3. 일출(자체)'!$AM$8:$AM$2000,$AN92))</x:f>
        <x:v/>
      </x:c>
      <x:c r="BE92" s="374" t="str">
        <x:f t="shared" si="127"/>
        <x:v/>
      </x:c>
    </x:row>
    <x:row r="93" spans="1:57" s="56" customFormat="1" ht="60" customHeight="1">
      <x:c r="A93" s="210"/>
      <x:c r="B93" s="888" t="s">
        <x:v>1516</x:v>
      </x:c>
      <x:c r="C93" s="888"/>
      <x:c r="D93" s="888"/>
      <x:c r="E93" s="888"/>
      <x:c r="F93" s="888"/>
      <x:c r="G93" s="888"/>
      <x:c r="H93" s="211"/>
      <x:c r="I93" s="159"/>
      <x:c r="J93" s="409" t="str">
        <x:f>SUBTOTAL(3,J94:J109)&amp;"건"</x:f>
        <x:v>0건</x:v>
      </x:c>
      <x:c r="K93" s="458">
        <x:f t="shared" ref="K93:L93" si="131">SUBTOTAL(9,K94:K109)</x:f>
        <x:v>0</x:v>
      </x:c>
      <x:c r="L93" s="458">
        <x:f t="shared" si="131"/>
        <x:v>0</x:v>
      </x:c>
      <x:c r="M93" s="458">
        <x:f t="shared" ref="M93:Q93" si="132">SUBTOTAL(9,M94:M109)</x:f>
        <x:v>0</x:v>
      </x:c>
      <x:c r="N93" s="458">
        <x:f t="shared" si="132"/>
        <x:v>0</x:v>
      </x:c>
      <x:c r="O93" s="458">
        <x:f t="shared" si="132"/>
        <x:v>0</x:v>
      </x:c>
      <x:c r="P93" s="458">
        <x:f t="shared" si="132"/>
        <x:v>0</x:v>
      </x:c>
      <x:c r="Q93" s="458">
        <x:f t="shared" si="132"/>
        <x:v>0</x:v>
      </x:c>
      <x:c r="R93" s="78"/>
      <x:c r="S93" s="78"/>
      <x:c r="T93" s="78"/>
      <x:c r="U93" s="78"/>
      <x:c r="V93" s="158"/>
      <x:c r="W93" s="158"/>
      <x:c r="X93" s="158"/>
      <x:c r="Y93" s="160"/>
      <x:c r="Z93" s="161"/>
      <x:c r="AA93" s="470">
        <x:f>SUBTOTAL(9,AA94:AA109)</x:f>
        <x:v>0</x:v>
      </x:c>
      <x:c r="AB93" s="470">
        <x:f t="shared" ref="AB93:AD93" si="133">SUBTOTAL(9,AB94:AB109)</x:f>
        <x:v>0</x:v>
      </x:c>
      <x:c r="AC93" s="470">
        <x:f t="shared" si="133"/>
        <x:v>0</x:v>
      </x:c>
      <x:c r="AD93" s="470">
        <x:f t="shared" si="133"/>
        <x:v>0</x:v>
      </x:c>
      <x:c r="AE93" s="166"/>
      <x:c r="AF93" s="470">
        <x:f>SUBTOTAL(9,AF94:AF109)</x:f>
        <x:v>0</x:v>
      </x:c>
      <x:c r="AG93" s="470">
        <x:f t="shared" ref="AG93:AI93" si="134">SUBTOTAL(9,AG94:AG109)</x:f>
        <x:v>0</x:v>
      </x:c>
      <x:c r="AH93" s="470">
        <x:f t="shared" si="134"/>
        <x:v>0</x:v>
      </x:c>
      <x:c r="AI93" s="470">
        <x:f t="shared" si="134"/>
        <x:v>0</x:v>
      </x:c>
      <x:c r="AJ93" s="53"/>
      <x:c r="AK93" s="80"/>
      <x:c r="AL93" s="80"/>
      <x:c r="AM93" s="53"/>
      <x:c r="AN93" s="80"/>
      <x:c r="AO93" s="80"/>
      <x:c r="AP93" s="53"/>
      <x:c r="AQ93" s="80"/>
      <x:c r="AR93" s="53"/>
      <x:c r="AS93" s="470">
        <x:f>SUBTOTAL(9,AS94:AS109)</x:f>
        <x:v>0</x:v>
      </x:c>
      <x:c r="AT93" s="470">
        <x:f>SUBTOTAL(9,AT94:AT109)</x:f>
        <x:v>0</x:v>
      </x:c>
      <x:c r="AU93" s="554" t="str">
        <x:f>IF(COUNTIF(AU94:AU109,"@@")&gt;0,"@@","OK")</x:f>
        <x:v>OK</x:v>
      </x:c>
      <x:c r="AV93" s="470">
        <x:f>SUBTOTAL(9,AV94:AV109)</x:f>
        <x:v>0</x:v>
      </x:c>
      <x:c r="AW93" s="470">
        <x:f>SUBTOTAL(9,AW94:AW109)</x:f>
        <x:v>0</x:v>
      </x:c>
      <x:c r="AX93" s="554" t="str">
        <x:f>IF(COUNTIF(AX94:AX109,"@@")&gt;0,"@@","OK")</x:f>
        <x:v>OK</x:v>
      </x:c>
      <x:c r="AY93" s="53"/>
      <x:c r="AZ93" s="470">
        <x:f>SUBTOTAL(9,AZ94:AZ109)</x:f>
        <x:v>0</x:v>
      </x:c>
      <x:c r="BA93" s="470">
        <x:f>SUBTOTAL(9,BA94:BA109)</x:f>
        <x:v>0</x:v>
      </x:c>
      <x:c r="BB93" s="554" t="str">
        <x:f>IF(COUNTIF(BB94:BB109,"@@")&gt;0,"@@","OK")</x:f>
        <x:v>OK</x:v>
      </x:c>
      <x:c r="BC93" s="470">
        <x:f>SUBTOTAL(9,BC94:BC109)</x:f>
        <x:v>0</x:v>
      </x:c>
      <x:c r="BD93" s="470">
        <x:f>SUBTOTAL(9,BD94:BD109)</x:f>
        <x:v>0</x:v>
      </x:c>
      <x:c r="BE93" s="554" t="str">
        <x:f>IF(COUNTIF(BE94:BE109,"@@")&gt;0,"@@","OK")</x:f>
        <x:v>OK</x:v>
      </x:c>
    </x:row>
    <x:row r="94" spans="1:57" s="20" customFormat="1" ht="80.099999999999994" customHeight="1">
      <x:c r="A94" s="155" t="str">
        <x:f>IF(D94="","",COUNTA($C$8:C94)-COUNTBLANK($C$8:C94)+6)</x:f>
        <x:v/>
      </x:c>
      <x:c r="B94" s="156" t="str">
        <x: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x:f>
        <x:v/>
      </x:c>
      <x:c r="C94" s="156" t="str">
        <x:f>IF(D94="","",IF(OR(D94="교육지원과",D94="총무과",D94="인사과"),"직접입력",VLOOKUP(D94,구분표!$A$3:$C$258,3,)))</x:f>
        <x:v/>
      </x:c>
      <x:c r="D94" s="219"/>
      <x:c r="E94" s="213"/>
      <x:c r="F94" s="388" t="str">
        <x:f>IF($E94="","",IF($E94="2추","직접입력","-"))</x:f>
        <x:v/>
      </x:c>
      <x:c r="G94" s="388" t="str">
        <x:f>IF($E94="","",IF($E94="2추","직접입력","-"))</x:f>
        <x:v/>
      </x:c>
      <x:c r="H94" s="213"/>
      <x:c r="I94" s="156" t="str">
        <x:f>IF(H94="","",VLOOKUP($H94,구분표!$O$3:$P$168,2,FALSE))</x:f>
        <x:v/>
      </x:c>
      <x:c r="J94" s="215"/>
      <x:c r="K94" s="459" t="str">
        <x:f>IF($E94="","",IF(OR($E94="2추",$E94="1추",$E94="본예산"),"금액입력","-"))</x:f>
        <x:v/>
      </x:c>
      <x:c r="L94" s="459" t="str">
        <x:f>IF($E94="","",IF($E94="2추","금액입력","-"))</x:f>
        <x:v/>
      </x:c>
      <x:c r="M94" s="461" t="str">
        <x:f t="shared" ref="M94:M109" si="135">IF($E94="","",SUM(K94:L94))</x:f>
        <x:v/>
      </x:c>
      <x:c r="N94" s="460"/>
      <x:c r="O94" s="461">
        <x:f t="shared" ref="O94:O109" si="136">SUM(M94:N94)</x:f>
        <x:v>0</x:v>
      </x:c>
      <x:c r="P94" s="462"/>
      <x:c r="Q94" s="463">
        <x:f t="shared" ref="Q94:Q109" si="137">SUM(M94,P94)</x:f>
        <x:v>0</x:v>
      </x:c>
      <x:c r="R94" s="162" t="str">
        <x:f t="shared" ref="R94:R109" si="138">IF(AND((O94=0),(Q94&gt;0)),"O",IF(AND((N94&lt;0),(O94-Q94&lt;0)),"O","X"))</x:f>
        <x:v>X</x:v>
      </x:c>
      <x:c r="S94" s="216"/>
      <x:c r="T94" s="327"/>
      <x:c r="U94" s="217"/>
      <x:c r="V94" s="203"/>
      <x:c r="W94" s="217"/>
      <x:c r="X94" s="217"/>
      <x:c r="Y94" s="162" t="str">
        <x:f t="shared" ref="Y94:Y109" si="139">IF($H94="","",IF(OR($H94="511-01",$H94="511-02",$H94="511-03",$H94="311-02",$H94="311-04",$H94="321-01"),"국비","도비"))</x:f>
        <x:v/>
      </x:c>
      <x:c r="Z94" s="45"/>
      <x:c r="AA94" s="471" t="str">
        <x:f t="shared" ref="AA94:AA109" si="140">IF($Y94="국비",IF($N94&lt;&gt;"",$N94,0),"")</x:f>
        <x:v/>
      </x:c>
      <x:c r="AB94" s="471" t="str">
        <x:f t="shared" ref="AB94:AB109" si="141">IF($Y94="도비",IF($AO94="자체",IF($N94&lt;&gt;"",$N94,0),""),"")</x:f>
        <x:v/>
      </x:c>
      <x:c r="AC94" s="471" t="str">
        <x:f t="shared" ref="AC94:AC109" si="142">IF($Y94="도비",IF($AO94="지방채",IF($N94&lt;&gt;"",$N94,0),""),"")</x:f>
        <x:v/>
      </x:c>
      <x:c r="AD94" s="471" t="str">
        <x:f t="shared" ref="AD94:AD109" si="143">IF($Y94="도비",IF($AO94="지역개발기금",IF($N94&lt;&gt;"",$N94,0),""),"")</x:f>
        <x:v/>
      </x:c>
      <x:c r="AE94" s="46"/>
      <x:c r="AF94" s="471" t="str">
        <x:f t="shared" ref="AF94:AF109" si="144">IF($Y94="국비",IF($P94&lt;&gt;"",$P94,0),"")</x:f>
        <x:v/>
      </x:c>
      <x:c r="AG94" s="471" t="str">
        <x:f t="shared" ref="AG94:AG109" si="145">IF($Y94="도비",IF($AO94="자체",IF($P94&lt;&gt;"",$P94,0),""),"")</x:f>
        <x:v/>
      </x:c>
      <x:c r="AH94" s="471" t="str">
        <x:f t="shared" ref="AH94:AH109" si="146">IF($Y94="도비",IF($AO94="지방채",IF($P94&lt;&gt;"",$P94,0),""),"")</x:f>
        <x:v/>
      </x:c>
      <x:c r="AI94" s="471" t="str">
        <x:f t="shared" ref="AI94:AI109" si="147">IF($Y94="도비",IF($AO94="지역개발기금",IF($P94&lt;&gt;"",$P94,0),""),"")</x:f>
        <x:v/>
      </x:c>
      <x:c r="AJ94" s="87"/>
      <x:c r="AK94" s="374" t="str">
        <x:f>IF($AQ94="","",IF(OR($AL94="",$AL94="도비"),"",CONCATENATE($AQ94,"-",COUNTIF($AQ$8:$AQ94,$AQ94))))</x:f>
        <x:v/>
      </x:c>
      <x:c r="AL94" s="374" t="str">
        <x:f t="shared" ref="AL94:AL109" si="148">IF($H94="","",IF($H94="511-01","국비",IF($H94="511-02","균특",IF($H94="511-03","기금",IF($H94="311-02","특교",IF($H94="311-04","소교",IF($H94="321-01","소멸","도비")))))))</x:f>
        <x:v/>
      </x:c>
      <x:c r="AM94" s="87"/>
      <x:c r="AN94" s="375" t="str">
        <x:f>IF($AQ94="","",IF(OR($AO94="",$AO94="국비",$AO94="자체"),"",CONCATENATE($AQ94,"-",$AO94,"-",COUNTIF($AQ$8:$AQ94,$AQ94))))</x:f>
        <x:v/>
      </x:c>
      <x:c r="AO94" s="375" t="str">
        <x:f t="shared" ref="AO94:AO109" si="149">IF($Y94="","",IF($Y94="국비","국비",IF($H94="612-01","지방채",IF($H94="722-02","지역개발기금","자체"))))</x:f>
        <x:v/>
      </x:c>
      <x:c r="AP94" s="87"/>
      <x:c r="AQ94" s="374" t="str">
        <x:f t="array" ref="AQ94:AQ94">IF(OR($D94="",$C94="직접입력",$B94="직접입력"),"",INDEX(구분표!$I$2:$I$337,MATCH(1,(구분표!$G$2:$G$337='3. 일입'!$B94)*(구분표!$E$2:$E$337='3. 일입'!$C94)*(구분표!$F$2:$F$337='3. 일입'!$D94),0)))</x:f>
        <x:v/>
      </x:c>
      <x:c r="AR94" s="87"/>
      <x:c r="AS94" s="472" t="str">
        <x:f>IF($AK94="","",SUMIFS('3. 일출(의존)'!$AB$7:$AB$1989,'3. 일출(의존)'!$AN$7:$AN$1989,$AK94))</x:f>
        <x:v/>
      </x:c>
      <x:c r="AT94" s="377" t="str">
        <x:f>IF($AK94="","",COUNTIF('3. 일출(의존)'!$AN$7:$AN$1989,$AK94))</x:f>
        <x:v/>
      </x:c>
      <x:c r="AU94" s="374" t="str">
        <x:f t="shared" ref="AU94:AU109" si="150">IF($AK94="","",IF($AA94=$AS94,"OK","@@"))</x:f>
        <x:v/>
      </x:c>
      <x:c r="AV94" s="472" t="str">
        <x:f>IF($AN94="","",IF($AO94="지역개발기금",SUMIFS('3. 일출(의존)'!$AE$8:$AE$2000,'3. 일출(의존)'!$AS$8:$AS$2000,$AN94)+SUMIFS('3. 일출(자체)'!$AE$8:$AE$2000,'3. 일출(자체)'!$AM$8:$AM$2000,$AN94),IF($AO94="지방채",SUMIFS('3. 일출(의존)'!$AD$8:$AD$2000,'3. 일출(의존)'!$AS$8:$AS$2000,$AN94)+SUMIFS('3. 일출(자체)'!$AD$8:$AD$2000,'3. 일출(자체)'!$AM$8:$AM$2000,$AN94),0)))</x:f>
        <x:v/>
      </x:c>
      <x:c r="AW94" s="377" t="str">
        <x:f>IF($AN94="","",COUNTIF('3. 일출(의존)'!$AS$8:$AS$2000,$AN94)+COUNTIF('3. 일출(자체)'!$AM$8:$AM$2000,$AN94))</x:f>
        <x:v/>
      </x:c>
      <x:c r="AX94" s="374" t="str">
        <x:f t="shared" ref="AX94:AX109" si="151">IF($AN94="","",IF($AO94="자체","",IF($AO94="지방채",IF($AC94=$AV94,"OK","@@"),IF($AO94="지역개발기금",IF($AD94=$AV94,"OK","@@"),"@@"))))</x:f>
        <x:v/>
      </x:c>
      <x:c r="AY94" s="91"/>
      <x:c r="AZ94" s="472" t="str">
        <x:f>IF($AK94="","",SUMIFS('3. 일출(의존)'!$AH$8:$AH$1989,'3. 일출(의존)'!$AN$8:$AN$1989,$AK94))</x:f>
        <x:v/>
      </x:c>
      <x:c r="BA94" s="377" t="str">
        <x:f>IF($AK94="","",COUNTIF('3. 일출(의존)'!$AN$7:$AN$1989,$AK94))</x:f>
        <x:v/>
      </x:c>
      <x:c r="BB94" s="374" t="str">
        <x:f t="shared" ref="BB94:BB109" si="152">IF($AK94="","",IF($AF94=$AZ94,"OK","@@"))</x:f>
        <x:v/>
      </x:c>
      <x:c r="BC94" s="472" t="str">
        <x:f>IF($AN94="","",IF($AO94="지역개발기금",SUMIFS('3. 일출(의존)'!$AK$8:$AK$2000,'3. 일출(의존)'!$AS$8:$AS$2000,$AN94)+SUMIFS('3. 일출(자체)'!$AJ$8:$AJ$2000,'3. 일출(자체)'!$AM$8:$AM$2000,$AN94),IF($AO94="지방채",SUMIFS('3. 일출(의존)'!$AJ$8:$AJ$2000,'3. 일출(의존)'!$AS$8:$AS$2000,$AN94)+SUMIFS('3. 일출(자체)'!$AI$8:$AI$2000,'3. 일출(자체)'!$AM$8:$AM$2000,$AN94),0)))</x:f>
        <x:v/>
      </x:c>
      <x:c r="BD94" s="377" t="str">
        <x:f>IF($AN94="","",COUNTIF('3. 일출(의존)'!$AS$8:$AS$2000,$AN94)+COUNTIF('3. 일출(자체)'!$AM$8:$AM$2000,$AN94))</x:f>
        <x:v/>
      </x:c>
      <x:c r="BE94" s="374" t="str">
        <x:f t="shared" ref="BE94:BE109" si="153">IF($AN94="","",IF($AO94="자체","",IF($AO94="지방채",IF($AH94=$BC94,"OK","@@"),IF($AO94="지역개발기금",IF($AI94=$BC94,"OK","@@"),"@@"))))</x:f>
        <x:v/>
      </x:c>
    </x:row>
    <x:row r="95" spans="1:57" s="20" customFormat="1" ht="80.099999999999994" customHeight="1">
      <x:c r="A95" s="155" t="str">
        <x:f>IF(D95="","",COUNTA($C$8:C95)-COUNTBLANK($C$8:C95)+6)</x:f>
        <x:v/>
      </x:c>
      <x:c r="B95" s="156" t="str">
        <x: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x:f>
        <x:v/>
      </x:c>
      <x:c r="C95" s="156" t="str">
        <x:f>IF(D95="","",IF(OR(D95="교육지원과",D95="총무과",D95="인사과"),"직접입력",VLOOKUP(D95,구분표!$A$3:$C$258,3,)))</x:f>
        <x:v/>
      </x:c>
      <x:c r="D95" s="219"/>
      <x:c r="E95" s="213"/>
      <x:c r="F95" s="388" t="str">
        <x:f t="shared" ref="F95:G109" si="154">IF($E95="","",IF($E95="2추","직접입력","-"))</x:f>
        <x:v/>
      </x:c>
      <x:c r="G95" s="388" t="str">
        <x:f t="shared" si="154"/>
        <x:v/>
      </x:c>
      <x:c r="H95" s="213"/>
      <x:c r="I95" s="156" t="str">
        <x:f>IF(H95="","",VLOOKUP($H95,구분표!$O$3:$P$168,2,FALSE))</x:f>
        <x:v/>
      </x:c>
      <x:c r="J95" s="215"/>
      <x:c r="K95" s="459" t="str">
        <x:f t="shared" ref="K95:K109" si="155">IF($E95="","",IF(OR($E95="2추",$E95="1추",$E95="본예산"),"금액입력","-"))</x:f>
        <x:v/>
      </x:c>
      <x:c r="L95" s="459" t="str">
        <x:f t="shared" ref="L95:L109" si="156">IF($E95="","",IF($E95="2추","금액입력","-"))</x:f>
        <x:v/>
      </x:c>
      <x:c r="M95" s="461" t="str">
        <x:f t="shared" si="135"/>
        <x:v/>
      </x:c>
      <x:c r="N95" s="460"/>
      <x:c r="O95" s="461">
        <x:f t="shared" si="136"/>
        <x:v>0</x:v>
      </x:c>
      <x:c r="P95" s="462"/>
      <x:c r="Q95" s="463">
        <x:f t="shared" si="137"/>
        <x:v>0</x:v>
      </x:c>
      <x:c r="R95" s="162" t="str">
        <x:f t="shared" si="138"/>
        <x:v>X</x:v>
      </x:c>
      <x:c r="S95" s="216"/>
      <x:c r="T95" s="327"/>
      <x:c r="U95" s="217"/>
      <x:c r="V95" s="203"/>
      <x:c r="W95" s="217"/>
      <x:c r="X95" s="217"/>
      <x:c r="Y95" s="162" t="str">
        <x:f t="shared" si="139"/>
        <x:v/>
      </x:c>
      <x:c r="Z95" s="45"/>
      <x:c r="AA95" s="471" t="str">
        <x:f t="shared" si="140"/>
        <x:v/>
      </x:c>
      <x:c r="AB95" s="471" t="str">
        <x:f t="shared" si="141"/>
        <x:v/>
      </x:c>
      <x:c r="AC95" s="471" t="str">
        <x:f t="shared" si="142"/>
        <x:v/>
      </x:c>
      <x:c r="AD95" s="471" t="str">
        <x:f t="shared" si="143"/>
        <x:v/>
      </x:c>
      <x:c r="AE95" s="46"/>
      <x:c r="AF95" s="471" t="str">
        <x:f t="shared" si="144"/>
        <x:v/>
      </x:c>
      <x:c r="AG95" s="471" t="str">
        <x:f t="shared" si="145"/>
        <x:v/>
      </x:c>
      <x:c r="AH95" s="471" t="str">
        <x:f t="shared" si="146"/>
        <x:v/>
      </x:c>
      <x:c r="AI95" s="471" t="str">
        <x:f t="shared" si="147"/>
        <x:v/>
      </x:c>
      <x:c r="AJ95" s="87"/>
      <x:c r="AK95" s="374" t="str">
        <x:f>IF($AQ95="","",IF(OR($AL95="",$AL95="도비"),"",CONCATENATE($AQ95,"-",COUNTIF($AQ$8:$AQ95,$AQ95))))</x:f>
        <x:v/>
      </x:c>
      <x:c r="AL95" s="374" t="str">
        <x:f t="shared" si="148"/>
        <x:v/>
      </x:c>
      <x:c r="AM95" s="87"/>
      <x:c r="AN95" s="375" t="str">
        <x:f>IF($AQ95="","",IF(OR($AO95="",$AO95="국비",$AO95="자체"),"",CONCATENATE($AQ95,"-",$AO95,"-",COUNTIF($AQ$8:$AQ95,$AQ95))))</x:f>
        <x:v/>
      </x:c>
      <x:c r="AO95" s="375" t="str">
        <x:f t="shared" si="149"/>
        <x:v/>
      </x:c>
      <x:c r="AP95" s="87"/>
      <x:c r="AQ95" s="374" t="str">
        <x:f t="array" ref="AQ95:AQ95">IF(OR($D95="",$C95="직접입력",$B95="직접입력"),"",INDEX(구분표!$I$2:$I$337,MATCH(1,(구분표!$G$2:$G$337='3. 일입'!$B95)*(구분표!$E$2:$E$337='3. 일입'!$C95)*(구분표!$F$2:$F$337='3. 일입'!$D95),0)))</x:f>
        <x:v/>
      </x:c>
      <x:c r="AR95" s="87"/>
      <x:c r="AS95" s="472" t="str">
        <x:f>IF($AK95="","",SUMIFS('3. 일출(의존)'!$AB$7:$AB$1989,'3. 일출(의존)'!$AN$7:$AN$1989,$AK95))</x:f>
        <x:v/>
      </x:c>
      <x:c r="AT95" s="377" t="str">
        <x:f>IF($AK95="","",COUNTIF('3. 일출(의존)'!$AN$7:$AN$1989,$AK95))</x:f>
        <x:v/>
      </x:c>
      <x:c r="AU95" s="374" t="str">
        <x:f t="shared" si="150"/>
        <x:v/>
      </x:c>
      <x:c r="AV95" s="472" t="str">
        <x:f>IF($AN95="","",IF($AO95="지역개발기금",SUMIFS('3. 일출(의존)'!$AE$8:$AE$2000,'3. 일출(의존)'!$AS$8:$AS$2000,$AN95)+SUMIFS('3. 일출(자체)'!$AE$8:$AE$2000,'3. 일출(자체)'!$AM$8:$AM$2000,$AN95),IF($AO95="지방채",SUMIFS('3. 일출(의존)'!$AD$8:$AD$2000,'3. 일출(의존)'!$AS$8:$AS$2000,$AN95)+SUMIFS('3. 일출(자체)'!$AD$8:$AD$2000,'3. 일출(자체)'!$AM$8:$AM$2000,$AN95),0)))</x:f>
        <x:v/>
      </x:c>
      <x:c r="AW95" s="377" t="str">
        <x:f>IF($AN95="","",COUNTIF('3. 일출(의존)'!$AS$8:$AS$2000,$AN95)+COUNTIF('3. 일출(자체)'!$AM$8:$AM$2000,$AN95))</x:f>
        <x:v/>
      </x:c>
      <x:c r="AX95" s="374" t="str">
        <x:f t="shared" si="151"/>
        <x:v/>
      </x:c>
      <x:c r="AY95" s="91"/>
      <x:c r="AZ95" s="472" t="str">
        <x:f>IF($AK95="","",SUMIFS('3. 일출(의존)'!$AH$8:$AH$1989,'3. 일출(의존)'!$AN$8:$AN$1989,$AK95))</x:f>
        <x:v/>
      </x:c>
      <x:c r="BA95" s="377" t="str">
        <x:f>IF($AK95="","",COUNTIF('3. 일출(의존)'!$AN$7:$AN$1989,$AK95))</x:f>
        <x:v/>
      </x:c>
      <x:c r="BB95" s="374" t="str">
        <x:f t="shared" si="152"/>
        <x:v/>
      </x:c>
      <x:c r="BC95" s="472" t="str">
        <x:f>IF($AN95="","",IF($AO95="지역개발기금",SUMIFS('3. 일출(의존)'!$AK$8:$AK$2000,'3. 일출(의존)'!$AS$8:$AS$2000,$AN95)+SUMIFS('3. 일출(자체)'!$AJ$8:$AJ$2000,'3. 일출(자체)'!$AM$8:$AM$2000,$AN95),IF($AO95="지방채",SUMIFS('3. 일출(의존)'!$AJ$8:$AJ$2000,'3. 일출(의존)'!$AS$8:$AS$2000,$AN95)+SUMIFS('3. 일출(자체)'!$AI$8:$AI$2000,'3. 일출(자체)'!$AM$8:$AM$2000,$AN95),0)))</x:f>
        <x:v/>
      </x:c>
      <x:c r="BD95" s="377" t="str">
        <x:f>IF($AN95="","",COUNTIF('3. 일출(의존)'!$AS$8:$AS$2000,$AN95)+COUNTIF('3. 일출(자체)'!$AM$8:$AM$2000,$AN95))</x:f>
        <x:v/>
      </x:c>
      <x:c r="BE95" s="374" t="str">
        <x:f t="shared" si="153"/>
        <x:v/>
      </x:c>
    </x:row>
    <x:row r="96" spans="1:57" s="20" customFormat="1" ht="80.099999999999994" customHeight="1">
      <x:c r="A96" s="155" t="str">
        <x:f>IF(D96="","",COUNTA($C$8:C96)-COUNTBLANK($C$8:C96)+6)</x:f>
        <x:v/>
      </x:c>
      <x:c r="B96" s="156" t="str">
        <x: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x:f>
        <x:v/>
      </x:c>
      <x:c r="C96" s="156" t="str">
        <x:f>IF(D96="","",IF(OR(D96="교육지원과",D96="총무과",D96="인사과"),"직접입력",VLOOKUP(D96,구분표!$A$3:$C$258,3,)))</x:f>
        <x:v/>
      </x:c>
      <x:c r="D96" s="219"/>
      <x:c r="E96" s="213"/>
      <x:c r="F96" s="388" t="str">
        <x:f t="shared" si="154"/>
        <x:v/>
      </x:c>
      <x:c r="G96" s="388" t="str">
        <x:f t="shared" si="154"/>
        <x:v/>
      </x:c>
      <x:c r="H96" s="213"/>
      <x:c r="I96" s="156" t="str">
        <x:f>IF(H96="","",VLOOKUP($H96,구분표!$O$3:$P$168,2,FALSE))</x:f>
        <x:v/>
      </x:c>
      <x:c r="J96" s="215"/>
      <x:c r="K96" s="459" t="str">
        <x:f t="shared" si="155"/>
        <x:v/>
      </x:c>
      <x:c r="L96" s="459" t="str">
        <x:f t="shared" si="156"/>
        <x:v/>
      </x:c>
      <x:c r="M96" s="461" t="str">
        <x:f t="shared" si="135"/>
        <x:v/>
      </x:c>
      <x:c r="N96" s="460"/>
      <x:c r="O96" s="461">
        <x:f t="shared" si="136"/>
        <x:v>0</x:v>
      </x:c>
      <x:c r="P96" s="462"/>
      <x:c r="Q96" s="463">
        <x:f t="shared" si="137"/>
        <x:v>0</x:v>
      </x:c>
      <x:c r="R96" s="162" t="str">
        <x:f t="shared" si="138"/>
        <x:v>X</x:v>
      </x:c>
      <x:c r="S96" s="216"/>
      <x:c r="T96" s="327"/>
      <x:c r="U96" s="217"/>
      <x:c r="V96" s="203"/>
      <x:c r="W96" s="217"/>
      <x:c r="X96" s="217"/>
      <x:c r="Y96" s="162" t="str">
        <x:f t="shared" si="139"/>
        <x:v/>
      </x:c>
      <x:c r="Z96" s="45"/>
      <x:c r="AA96" s="471" t="str">
        <x:f t="shared" si="140"/>
        <x:v/>
      </x:c>
      <x:c r="AB96" s="471" t="str">
        <x:f t="shared" si="141"/>
        <x:v/>
      </x:c>
      <x:c r="AC96" s="471" t="str">
        <x:f t="shared" si="142"/>
        <x:v/>
      </x:c>
      <x:c r="AD96" s="471" t="str">
        <x:f t="shared" si="143"/>
        <x:v/>
      </x:c>
      <x:c r="AE96" s="46"/>
      <x:c r="AF96" s="471" t="str">
        <x:f t="shared" si="144"/>
        <x:v/>
      </x:c>
      <x:c r="AG96" s="471" t="str">
        <x:f t="shared" si="145"/>
        <x:v/>
      </x:c>
      <x:c r="AH96" s="471" t="str">
        <x:f t="shared" si="146"/>
        <x:v/>
      </x:c>
      <x:c r="AI96" s="471" t="str">
        <x:f t="shared" si="147"/>
        <x:v/>
      </x:c>
      <x:c r="AJ96" s="87"/>
      <x:c r="AK96" s="374" t="str">
        <x:f>IF($AQ96="","",IF(OR($AL96="",$AL96="도비"),"",CONCATENATE($AQ96,"-",COUNTIF($AQ$8:$AQ96,$AQ96))))</x:f>
        <x:v/>
      </x:c>
      <x:c r="AL96" s="374" t="str">
        <x:f t="shared" si="148"/>
        <x:v/>
      </x:c>
      <x:c r="AM96" s="87"/>
      <x:c r="AN96" s="375" t="str">
        <x:f>IF($AQ96="","",IF(OR($AO96="",$AO96="국비",$AO96="자체"),"",CONCATENATE($AQ96,"-",$AO96,"-",COUNTIF($AQ$8:$AQ96,$AQ96))))</x:f>
        <x:v/>
      </x:c>
      <x:c r="AO96" s="375" t="str">
        <x:f t="shared" si="149"/>
        <x:v/>
      </x:c>
      <x:c r="AP96" s="87"/>
      <x:c r="AQ96" s="374" t="str">
        <x:f t="array" ref="AQ96:AQ96">IF(OR($D96="",$C96="직접입력",$B96="직접입력"),"",INDEX(구분표!$I$2:$I$337,MATCH(1,(구분표!$G$2:$G$337='3. 일입'!$B96)*(구분표!$E$2:$E$337='3. 일입'!$C96)*(구분표!$F$2:$F$337='3. 일입'!$D96),0)))</x:f>
        <x:v/>
      </x:c>
      <x:c r="AR96" s="87"/>
      <x:c r="AS96" s="472" t="str">
        <x:f>IF($AK96="","",SUMIFS('3. 일출(의존)'!$AB$7:$AB$1989,'3. 일출(의존)'!$AN$7:$AN$1989,$AK96))</x:f>
        <x:v/>
      </x:c>
      <x:c r="AT96" s="377" t="str">
        <x:f>IF($AK96="","",COUNTIF('3. 일출(의존)'!$AN$7:$AN$1989,$AK96))</x:f>
        <x:v/>
      </x:c>
      <x:c r="AU96" s="374" t="str">
        <x:f t="shared" si="150"/>
        <x:v/>
      </x:c>
      <x:c r="AV96" s="472" t="str">
        <x:f>IF($AN96="","",IF($AO96="지역개발기금",SUMIFS('3. 일출(의존)'!$AE$8:$AE$2000,'3. 일출(의존)'!$AS$8:$AS$2000,$AN96)+SUMIFS('3. 일출(자체)'!$AE$8:$AE$2000,'3. 일출(자체)'!$AM$8:$AM$2000,$AN96),IF($AO96="지방채",SUMIFS('3. 일출(의존)'!$AD$8:$AD$2000,'3. 일출(의존)'!$AS$8:$AS$2000,$AN96)+SUMIFS('3. 일출(자체)'!$AD$8:$AD$2000,'3. 일출(자체)'!$AM$8:$AM$2000,$AN96),0)))</x:f>
        <x:v/>
      </x:c>
      <x:c r="AW96" s="377" t="str">
        <x:f>IF($AN96="","",COUNTIF('3. 일출(의존)'!$AS$8:$AS$2000,$AN96)+COUNTIF('3. 일출(자체)'!$AM$8:$AM$2000,$AN96))</x:f>
        <x:v/>
      </x:c>
      <x:c r="AX96" s="374" t="str">
        <x:f t="shared" si="151"/>
        <x:v/>
      </x:c>
      <x:c r="AY96" s="91"/>
      <x:c r="AZ96" s="472" t="str">
        <x:f>IF($AK96="","",SUMIFS('3. 일출(의존)'!$AH$8:$AH$1989,'3. 일출(의존)'!$AN$8:$AN$1989,$AK96))</x:f>
        <x:v/>
      </x:c>
      <x:c r="BA96" s="377" t="str">
        <x:f>IF($AK96="","",COUNTIF('3. 일출(의존)'!$AN$7:$AN$1989,$AK96))</x:f>
        <x:v/>
      </x:c>
      <x:c r="BB96" s="374" t="str">
        <x:f t="shared" si="152"/>
        <x:v/>
      </x:c>
      <x:c r="BC96" s="472" t="str">
        <x:f>IF($AN96="","",IF($AO96="지역개발기금",SUMIFS('3. 일출(의존)'!$AK$8:$AK$2000,'3. 일출(의존)'!$AS$8:$AS$2000,$AN96)+SUMIFS('3. 일출(자체)'!$AJ$8:$AJ$2000,'3. 일출(자체)'!$AM$8:$AM$2000,$AN96),IF($AO96="지방채",SUMIFS('3. 일출(의존)'!$AJ$8:$AJ$2000,'3. 일출(의존)'!$AS$8:$AS$2000,$AN96)+SUMIFS('3. 일출(자체)'!$AI$8:$AI$2000,'3. 일출(자체)'!$AM$8:$AM$2000,$AN96),0)))</x:f>
        <x:v/>
      </x:c>
      <x:c r="BD96" s="377" t="str">
        <x:f>IF($AN96="","",COUNTIF('3. 일출(의존)'!$AS$8:$AS$2000,$AN96)+COUNTIF('3. 일출(자체)'!$AM$8:$AM$2000,$AN96))</x:f>
        <x:v/>
      </x:c>
      <x:c r="BE96" s="374" t="str">
        <x:f t="shared" si="153"/>
        <x:v/>
      </x:c>
    </x:row>
    <x:row r="97" spans="1:57" s="20" customFormat="1" ht="80.099999999999994" customHeight="1">
      <x:c r="A97" s="155" t="str">
        <x:f>IF(D97="","",COUNTA($C$8:C97)-COUNTBLANK($C$8:C97)+6)</x:f>
        <x:v/>
      </x:c>
      <x:c r="B97" s="156" t="str">
        <x: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x:f>
        <x:v/>
      </x:c>
      <x:c r="C97" s="156" t="str">
        <x:f>IF(D97="","",IF(OR(D97="교육지원과",D97="총무과",D97="인사과"),"직접입력",VLOOKUP(D97,구분표!$A$3:$C$258,3,)))</x:f>
        <x:v/>
      </x:c>
      <x:c r="D97" s="219"/>
      <x:c r="E97" s="213"/>
      <x:c r="F97" s="388" t="str">
        <x:f t="shared" si="154"/>
        <x:v/>
      </x:c>
      <x:c r="G97" s="388" t="str">
        <x:f t="shared" si="154"/>
        <x:v/>
      </x:c>
      <x:c r="H97" s="213"/>
      <x:c r="I97" s="156" t="str">
        <x:f>IF(H97="","",VLOOKUP($H97,구분표!$O$3:$P$168,2,FALSE))</x:f>
        <x:v/>
      </x:c>
      <x:c r="J97" s="215"/>
      <x:c r="K97" s="459" t="str">
        <x:f t="shared" si="155"/>
        <x:v/>
      </x:c>
      <x:c r="L97" s="459" t="str">
        <x:f t="shared" si="156"/>
        <x:v/>
      </x:c>
      <x:c r="M97" s="461" t="str">
        <x:f t="shared" si="135"/>
        <x:v/>
      </x:c>
      <x:c r="N97" s="460"/>
      <x:c r="O97" s="461">
        <x:f t="shared" si="136"/>
        <x:v>0</x:v>
      </x:c>
      <x:c r="P97" s="462"/>
      <x:c r="Q97" s="463">
        <x:f t="shared" si="137"/>
        <x:v>0</x:v>
      </x:c>
      <x:c r="R97" s="162" t="str">
        <x:f t="shared" si="138"/>
        <x:v>X</x:v>
      </x:c>
      <x:c r="S97" s="216"/>
      <x:c r="T97" s="327"/>
      <x:c r="U97" s="217"/>
      <x:c r="V97" s="203"/>
      <x:c r="W97" s="217"/>
      <x:c r="X97" s="217"/>
      <x:c r="Y97" s="162" t="str">
        <x:f t="shared" si="139"/>
        <x:v/>
      </x:c>
      <x:c r="Z97" s="45"/>
      <x:c r="AA97" s="471" t="str">
        <x:f t="shared" si="140"/>
        <x:v/>
      </x:c>
      <x:c r="AB97" s="471" t="str">
        <x:f t="shared" si="141"/>
        <x:v/>
      </x:c>
      <x:c r="AC97" s="471" t="str">
        <x:f t="shared" si="142"/>
        <x:v/>
      </x:c>
      <x:c r="AD97" s="471" t="str">
        <x:f t="shared" si="143"/>
        <x:v/>
      </x:c>
      <x:c r="AE97" s="46"/>
      <x:c r="AF97" s="471" t="str">
        <x:f t="shared" si="144"/>
        <x:v/>
      </x:c>
      <x:c r="AG97" s="471" t="str">
        <x:f t="shared" si="145"/>
        <x:v/>
      </x:c>
      <x:c r="AH97" s="471" t="str">
        <x:f t="shared" si="146"/>
        <x:v/>
      </x:c>
      <x:c r="AI97" s="471" t="str">
        <x:f t="shared" si="147"/>
        <x:v/>
      </x:c>
      <x:c r="AJ97" s="87"/>
      <x:c r="AK97" s="374" t="str">
        <x:f>IF($AQ97="","",IF(OR($AL97="",$AL97="도비"),"",CONCATENATE($AQ97,"-",COUNTIF($AQ$8:$AQ97,$AQ97))))</x:f>
        <x:v/>
      </x:c>
      <x:c r="AL97" s="374" t="str">
        <x:f t="shared" si="148"/>
        <x:v/>
      </x:c>
      <x:c r="AM97" s="87"/>
      <x:c r="AN97" s="375" t="str">
        <x:f>IF($AQ97="","",IF(OR($AO97="",$AO97="국비",$AO97="자체"),"",CONCATENATE($AQ97,"-",$AO97,"-",COUNTIF($AQ$8:$AQ97,$AQ97))))</x:f>
        <x:v/>
      </x:c>
      <x:c r="AO97" s="375" t="str">
        <x:f t="shared" si="149"/>
        <x:v/>
      </x:c>
      <x:c r="AP97" s="87"/>
      <x:c r="AQ97" s="374" t="str">
        <x:f t="array" ref="AQ97:AQ97">IF(OR($D97="",$C97="직접입력",$B97="직접입력"),"",INDEX(구분표!$I$2:$I$337,MATCH(1,(구분표!$G$2:$G$337='3. 일입'!$B97)*(구분표!$E$2:$E$337='3. 일입'!$C97)*(구분표!$F$2:$F$337='3. 일입'!$D97),0)))</x:f>
        <x:v/>
      </x:c>
      <x:c r="AR97" s="87"/>
      <x:c r="AS97" s="472" t="str">
        <x:f>IF($AK97="","",SUMIFS('3. 일출(의존)'!$AB$7:$AB$1989,'3. 일출(의존)'!$AN$7:$AN$1989,$AK97))</x:f>
        <x:v/>
      </x:c>
      <x:c r="AT97" s="377" t="str">
        <x:f>IF($AK97="","",COUNTIF('3. 일출(의존)'!$AN$7:$AN$1989,$AK97))</x:f>
        <x:v/>
      </x:c>
      <x:c r="AU97" s="374" t="str">
        <x:f t="shared" si="150"/>
        <x:v/>
      </x:c>
      <x:c r="AV97" s="472" t="str">
        <x:f>IF($AN97="","",IF($AO97="지역개발기금",SUMIFS('3. 일출(의존)'!$AE$8:$AE$2000,'3. 일출(의존)'!$AS$8:$AS$2000,$AN97)+SUMIFS('3. 일출(자체)'!$AE$8:$AE$2000,'3. 일출(자체)'!$AM$8:$AM$2000,$AN97),IF($AO97="지방채",SUMIFS('3. 일출(의존)'!$AD$8:$AD$2000,'3. 일출(의존)'!$AS$8:$AS$2000,$AN97)+SUMIFS('3. 일출(자체)'!$AD$8:$AD$2000,'3. 일출(자체)'!$AM$8:$AM$2000,$AN97),0)))</x:f>
        <x:v/>
      </x:c>
      <x:c r="AW97" s="377" t="str">
        <x:f>IF($AN97="","",COUNTIF('3. 일출(의존)'!$AS$8:$AS$2000,$AN97)+COUNTIF('3. 일출(자체)'!$AM$8:$AM$2000,$AN97))</x:f>
        <x:v/>
      </x:c>
      <x:c r="AX97" s="374" t="str">
        <x:f t="shared" si="151"/>
        <x:v/>
      </x:c>
      <x:c r="AY97" s="91"/>
      <x:c r="AZ97" s="472" t="str">
        <x:f>IF($AK97="","",SUMIFS('3. 일출(의존)'!$AH$8:$AH$1989,'3. 일출(의존)'!$AN$8:$AN$1989,$AK97))</x:f>
        <x:v/>
      </x:c>
      <x:c r="BA97" s="377" t="str">
        <x:f>IF($AK97="","",COUNTIF('3. 일출(의존)'!$AN$7:$AN$1989,$AK97))</x:f>
        <x:v/>
      </x:c>
      <x:c r="BB97" s="374" t="str">
        <x:f t="shared" si="152"/>
        <x:v/>
      </x:c>
      <x:c r="BC97" s="472" t="str">
        <x:f>IF($AN97="","",IF($AO97="지역개발기금",SUMIFS('3. 일출(의존)'!$AK$8:$AK$2000,'3. 일출(의존)'!$AS$8:$AS$2000,$AN97)+SUMIFS('3. 일출(자체)'!$AJ$8:$AJ$2000,'3. 일출(자체)'!$AM$8:$AM$2000,$AN97),IF($AO97="지방채",SUMIFS('3. 일출(의존)'!$AJ$8:$AJ$2000,'3. 일출(의존)'!$AS$8:$AS$2000,$AN97)+SUMIFS('3. 일출(자체)'!$AI$8:$AI$2000,'3. 일출(자체)'!$AM$8:$AM$2000,$AN97),0)))</x:f>
        <x:v/>
      </x:c>
      <x:c r="BD97" s="377" t="str">
        <x:f>IF($AN97="","",COUNTIF('3. 일출(의존)'!$AS$8:$AS$2000,$AN97)+COUNTIF('3. 일출(자체)'!$AM$8:$AM$2000,$AN97))</x:f>
        <x:v/>
      </x:c>
      <x:c r="BE97" s="374" t="str">
        <x:f t="shared" si="153"/>
        <x:v/>
      </x:c>
    </x:row>
    <x:row r="98" spans="1:57" s="20" customFormat="1" ht="80.099999999999994" customHeight="1">
      <x:c r="A98" s="155" t="str">
        <x:f>IF(D98="","",COUNTA($C$8:C98)-COUNTBLANK($C$8:C98)+6)</x:f>
        <x:v/>
      </x:c>
      <x:c r="B98" s="156" t="str">
        <x: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x:f>
        <x:v/>
      </x:c>
      <x:c r="C98" s="156" t="str">
        <x:f>IF(D98="","",IF(OR(D98="교육지원과",D98="총무과",D98="인사과"),"직접입력",VLOOKUP(D98,구분표!$A$3:$C$258,3,)))</x:f>
        <x:v/>
      </x:c>
      <x:c r="D98" s="219"/>
      <x:c r="E98" s="213"/>
      <x:c r="F98" s="388" t="str">
        <x:f t="shared" si="154"/>
        <x:v/>
      </x:c>
      <x:c r="G98" s="388" t="str">
        <x:f t="shared" si="154"/>
        <x:v/>
      </x:c>
      <x:c r="H98" s="213"/>
      <x:c r="I98" s="156" t="str">
        <x:f>IF(H98="","",VLOOKUP($H98,구분표!$O$3:$P$168,2,FALSE))</x:f>
        <x:v/>
      </x:c>
      <x:c r="J98" s="215"/>
      <x:c r="K98" s="459" t="str">
        <x:f t="shared" si="155"/>
        <x:v/>
      </x:c>
      <x:c r="L98" s="459" t="str">
        <x:f t="shared" si="156"/>
        <x:v/>
      </x:c>
      <x:c r="M98" s="461" t="str">
        <x:f t="shared" si="135"/>
        <x:v/>
      </x:c>
      <x:c r="N98" s="460"/>
      <x:c r="O98" s="461">
        <x:f t="shared" si="136"/>
        <x:v>0</x:v>
      </x:c>
      <x:c r="P98" s="462"/>
      <x:c r="Q98" s="463">
        <x:f t="shared" si="137"/>
        <x:v>0</x:v>
      </x:c>
      <x:c r="R98" s="162" t="str">
        <x:f t="shared" si="138"/>
        <x:v>X</x:v>
      </x:c>
      <x:c r="S98" s="216"/>
      <x:c r="T98" s="327"/>
      <x:c r="U98" s="217"/>
      <x:c r="V98" s="203"/>
      <x:c r="W98" s="217"/>
      <x:c r="X98" s="217"/>
      <x:c r="Y98" s="162" t="str">
        <x:f t="shared" si="139"/>
        <x:v/>
      </x:c>
      <x:c r="Z98" s="45"/>
      <x:c r="AA98" s="471" t="str">
        <x:f t="shared" si="140"/>
        <x:v/>
      </x:c>
      <x:c r="AB98" s="471" t="str">
        <x:f t="shared" si="141"/>
        <x:v/>
      </x:c>
      <x:c r="AC98" s="471" t="str">
        <x:f t="shared" si="142"/>
        <x:v/>
      </x:c>
      <x:c r="AD98" s="471" t="str">
        <x:f t="shared" si="143"/>
        <x:v/>
      </x:c>
      <x:c r="AE98" s="46"/>
      <x:c r="AF98" s="471" t="str">
        <x:f t="shared" si="144"/>
        <x:v/>
      </x:c>
      <x:c r="AG98" s="471" t="str">
        <x:f t="shared" si="145"/>
        <x:v/>
      </x:c>
      <x:c r="AH98" s="471" t="str">
        <x:f t="shared" si="146"/>
        <x:v/>
      </x:c>
      <x:c r="AI98" s="471" t="str">
        <x:f t="shared" si="147"/>
        <x:v/>
      </x:c>
      <x:c r="AJ98" s="87"/>
      <x:c r="AK98" s="374" t="str">
        <x:f>IF($AQ98="","",IF(OR($AL98="",$AL98="도비"),"",CONCATENATE($AQ98,"-",COUNTIF($AQ$8:$AQ98,$AQ98))))</x:f>
        <x:v/>
      </x:c>
      <x:c r="AL98" s="374" t="str">
        <x:f t="shared" si="148"/>
        <x:v/>
      </x:c>
      <x:c r="AM98" s="87"/>
      <x:c r="AN98" s="375" t="str">
        <x:f>IF($AQ98="","",IF(OR($AO98="",$AO98="국비",$AO98="자체"),"",CONCATENATE($AQ98,"-",$AO98,"-",COUNTIF($AQ$8:$AQ98,$AQ98))))</x:f>
        <x:v/>
      </x:c>
      <x:c r="AO98" s="375" t="str">
        <x:f t="shared" si="149"/>
        <x:v/>
      </x:c>
      <x:c r="AP98" s="87"/>
      <x:c r="AQ98" s="374" t="str">
        <x:f t="array" ref="AQ98:AQ98">IF(OR($D98="",$C98="직접입력",$B98="직접입력"),"",INDEX(구분표!$I$2:$I$337,MATCH(1,(구분표!$G$2:$G$337='3. 일입'!$B98)*(구분표!$E$2:$E$337='3. 일입'!$C98)*(구분표!$F$2:$F$337='3. 일입'!$D98),0)))</x:f>
        <x:v/>
      </x:c>
      <x:c r="AR98" s="87"/>
      <x:c r="AS98" s="472" t="str">
        <x:f>IF($AK98="","",SUMIFS('3. 일출(의존)'!$AB$7:$AB$1989,'3. 일출(의존)'!$AN$7:$AN$1989,$AK98))</x:f>
        <x:v/>
      </x:c>
      <x:c r="AT98" s="377" t="str">
        <x:f>IF($AK98="","",COUNTIF('3. 일출(의존)'!$AN$7:$AN$1989,$AK98))</x:f>
        <x:v/>
      </x:c>
      <x:c r="AU98" s="374" t="str">
        <x:f t="shared" si="150"/>
        <x:v/>
      </x:c>
      <x:c r="AV98" s="472" t="str">
        <x:f>IF($AN98="","",IF($AO98="지역개발기금",SUMIFS('3. 일출(의존)'!$AE$8:$AE$2000,'3. 일출(의존)'!$AS$8:$AS$2000,$AN98)+SUMIFS('3. 일출(자체)'!$AE$8:$AE$2000,'3. 일출(자체)'!$AM$8:$AM$2000,$AN98),IF($AO98="지방채",SUMIFS('3. 일출(의존)'!$AD$8:$AD$2000,'3. 일출(의존)'!$AS$8:$AS$2000,$AN98)+SUMIFS('3. 일출(자체)'!$AD$8:$AD$2000,'3. 일출(자체)'!$AM$8:$AM$2000,$AN98),0)))</x:f>
        <x:v/>
      </x:c>
      <x:c r="AW98" s="377" t="str">
        <x:f>IF($AN98="","",COUNTIF('3. 일출(의존)'!$AS$8:$AS$2000,$AN98)+COUNTIF('3. 일출(자체)'!$AM$8:$AM$2000,$AN98))</x:f>
        <x:v/>
      </x:c>
      <x:c r="AX98" s="374" t="str">
        <x:f t="shared" si="151"/>
        <x:v/>
      </x:c>
      <x:c r="AY98" s="91"/>
      <x:c r="AZ98" s="472" t="str">
        <x:f>IF($AK98="","",SUMIFS('3. 일출(의존)'!$AH$8:$AH$1989,'3. 일출(의존)'!$AN$8:$AN$1989,$AK98))</x:f>
        <x:v/>
      </x:c>
      <x:c r="BA98" s="377" t="str">
        <x:f>IF($AK98="","",COUNTIF('3. 일출(의존)'!$AN$7:$AN$1989,$AK98))</x:f>
        <x:v/>
      </x:c>
      <x:c r="BB98" s="374" t="str">
        <x:f t="shared" si="152"/>
        <x:v/>
      </x:c>
      <x:c r="BC98" s="472" t="str">
        <x:f>IF($AN98="","",IF($AO98="지역개발기금",SUMIFS('3. 일출(의존)'!$AK$8:$AK$2000,'3. 일출(의존)'!$AS$8:$AS$2000,$AN98)+SUMIFS('3. 일출(자체)'!$AJ$8:$AJ$2000,'3. 일출(자체)'!$AM$8:$AM$2000,$AN98),IF($AO98="지방채",SUMIFS('3. 일출(의존)'!$AJ$8:$AJ$2000,'3. 일출(의존)'!$AS$8:$AS$2000,$AN98)+SUMIFS('3. 일출(자체)'!$AI$8:$AI$2000,'3. 일출(자체)'!$AM$8:$AM$2000,$AN98),0)))</x:f>
        <x:v/>
      </x:c>
      <x:c r="BD98" s="377" t="str">
        <x:f>IF($AN98="","",COUNTIF('3. 일출(의존)'!$AS$8:$AS$2000,$AN98)+COUNTIF('3. 일출(자체)'!$AM$8:$AM$2000,$AN98))</x:f>
        <x:v/>
      </x:c>
      <x:c r="BE98" s="374" t="str">
        <x:f t="shared" si="153"/>
        <x:v/>
      </x:c>
    </x:row>
    <x:row r="99" spans="1:57" s="20" customFormat="1" ht="80.099999999999994" customHeight="1">
      <x:c r="A99" s="155" t="str">
        <x:f>IF(D99="","",COUNTA($C$8:C99)-COUNTBLANK($C$8:C99)+6)</x:f>
        <x:v/>
      </x:c>
      <x:c r="B99" s="156" t="str">
        <x: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x:f>
        <x:v/>
      </x:c>
      <x:c r="C99" s="156" t="str">
        <x:f>IF(D99="","",IF(OR(D99="교육지원과",D99="총무과",D99="인사과"),"직접입력",VLOOKUP(D99,구분표!$A$3:$C$258,3,)))</x:f>
        <x:v/>
      </x:c>
      <x:c r="D99" s="219"/>
      <x:c r="E99" s="213"/>
      <x:c r="F99" s="388" t="str">
        <x:f t="shared" si="154"/>
        <x:v/>
      </x:c>
      <x:c r="G99" s="388" t="str">
        <x:f t="shared" si="154"/>
        <x:v/>
      </x:c>
      <x:c r="H99" s="213"/>
      <x:c r="I99" s="156" t="str">
        <x:f>IF(H99="","",VLOOKUP($H99,구분표!$O$3:$P$168,2,FALSE))</x:f>
        <x:v/>
      </x:c>
      <x:c r="J99" s="215"/>
      <x:c r="K99" s="459" t="str">
        <x:f t="shared" si="155"/>
        <x:v/>
      </x:c>
      <x:c r="L99" s="459" t="str">
        <x:f t="shared" si="156"/>
        <x:v/>
      </x:c>
      <x:c r="M99" s="461" t="str">
        <x:f t="shared" si="135"/>
        <x:v/>
      </x:c>
      <x:c r="N99" s="460"/>
      <x:c r="O99" s="461">
        <x:f t="shared" si="136"/>
        <x:v>0</x:v>
      </x:c>
      <x:c r="P99" s="462"/>
      <x:c r="Q99" s="463">
        <x:f t="shared" si="137"/>
        <x:v>0</x:v>
      </x:c>
      <x:c r="R99" s="162" t="str">
        <x:f t="shared" si="138"/>
        <x:v>X</x:v>
      </x:c>
      <x:c r="S99" s="216"/>
      <x:c r="T99" s="327"/>
      <x:c r="U99" s="217"/>
      <x:c r="V99" s="203"/>
      <x:c r="W99" s="217"/>
      <x:c r="X99" s="217"/>
      <x:c r="Y99" s="162" t="str">
        <x:f t="shared" si="139"/>
        <x:v/>
      </x:c>
      <x:c r="Z99" s="45"/>
      <x:c r="AA99" s="471" t="str">
        <x:f t="shared" si="140"/>
        <x:v/>
      </x:c>
      <x:c r="AB99" s="471" t="str">
        <x:f t="shared" si="141"/>
        <x:v/>
      </x:c>
      <x:c r="AC99" s="471" t="str">
        <x:f t="shared" si="142"/>
        <x:v/>
      </x:c>
      <x:c r="AD99" s="471" t="str">
        <x:f t="shared" si="143"/>
        <x:v/>
      </x:c>
      <x:c r="AE99" s="46"/>
      <x:c r="AF99" s="471" t="str">
        <x:f t="shared" si="144"/>
        <x:v/>
      </x:c>
      <x:c r="AG99" s="471" t="str">
        <x:f t="shared" si="145"/>
        <x:v/>
      </x:c>
      <x:c r="AH99" s="471" t="str">
        <x:f t="shared" si="146"/>
        <x:v/>
      </x:c>
      <x:c r="AI99" s="471" t="str">
        <x:f t="shared" si="147"/>
        <x:v/>
      </x:c>
      <x:c r="AJ99" s="87"/>
      <x:c r="AK99" s="374" t="str">
        <x:f>IF($AQ99="","",IF(OR($AL99="",$AL99="도비"),"",CONCATENATE($AQ99,"-",COUNTIF($AQ$8:$AQ99,$AQ99))))</x:f>
        <x:v/>
      </x:c>
      <x:c r="AL99" s="374" t="str">
        <x:f t="shared" si="148"/>
        <x:v/>
      </x:c>
      <x:c r="AM99" s="87"/>
      <x:c r="AN99" s="375" t="str">
        <x:f>IF($AQ99="","",IF(OR($AO99="",$AO99="국비",$AO99="자체"),"",CONCATENATE($AQ99,"-",$AO99,"-",COUNTIF($AQ$8:$AQ99,$AQ99))))</x:f>
        <x:v/>
      </x:c>
      <x:c r="AO99" s="375" t="str">
        <x:f t="shared" si="149"/>
        <x:v/>
      </x:c>
      <x:c r="AP99" s="87"/>
      <x:c r="AQ99" s="374" t="str">
        <x:f t="array" ref="AQ99:AQ99">IF(OR($D99="",$C99="직접입력",$B99="직접입력"),"",INDEX(구분표!$I$2:$I$337,MATCH(1,(구분표!$G$2:$G$337='3. 일입'!$B99)*(구분표!$E$2:$E$337='3. 일입'!$C99)*(구분표!$F$2:$F$337='3. 일입'!$D99),0)))</x:f>
        <x:v/>
      </x:c>
      <x:c r="AR99" s="87"/>
      <x:c r="AS99" s="472" t="str">
        <x:f>IF($AK99="","",SUMIFS('3. 일출(의존)'!$AB$7:$AB$1989,'3. 일출(의존)'!$AN$7:$AN$1989,$AK99))</x:f>
        <x:v/>
      </x:c>
      <x:c r="AT99" s="377" t="str">
        <x:f>IF($AK99="","",COUNTIF('3. 일출(의존)'!$AN$7:$AN$1989,$AK99))</x:f>
        <x:v/>
      </x:c>
      <x:c r="AU99" s="374" t="str">
        <x:f t="shared" si="150"/>
        <x:v/>
      </x:c>
      <x:c r="AV99" s="472" t="str">
        <x:f>IF($AN99="","",IF($AO99="지역개발기금",SUMIFS('3. 일출(의존)'!$AE$8:$AE$2000,'3. 일출(의존)'!$AS$8:$AS$2000,$AN99)+SUMIFS('3. 일출(자체)'!$AE$8:$AE$2000,'3. 일출(자체)'!$AM$8:$AM$2000,$AN99),IF($AO99="지방채",SUMIFS('3. 일출(의존)'!$AD$8:$AD$2000,'3. 일출(의존)'!$AS$8:$AS$2000,$AN99)+SUMIFS('3. 일출(자체)'!$AD$8:$AD$2000,'3. 일출(자체)'!$AM$8:$AM$2000,$AN99),0)))</x:f>
        <x:v/>
      </x:c>
      <x:c r="AW99" s="377" t="str">
        <x:f>IF($AN99="","",COUNTIF('3. 일출(의존)'!$AS$8:$AS$2000,$AN99)+COUNTIF('3. 일출(자체)'!$AM$8:$AM$2000,$AN99))</x:f>
        <x:v/>
      </x:c>
      <x:c r="AX99" s="374" t="str">
        <x:f t="shared" si="151"/>
        <x:v/>
      </x:c>
      <x:c r="AY99" s="91"/>
      <x:c r="AZ99" s="472" t="str">
        <x:f>IF($AK99="","",SUMIFS('3. 일출(의존)'!$AH$8:$AH$1989,'3. 일출(의존)'!$AN$8:$AN$1989,$AK99))</x:f>
        <x:v/>
      </x:c>
      <x:c r="BA99" s="377" t="str">
        <x:f>IF($AK99="","",COUNTIF('3. 일출(의존)'!$AN$7:$AN$1989,$AK99))</x:f>
        <x:v/>
      </x:c>
      <x:c r="BB99" s="374" t="str">
        <x:f t="shared" si="152"/>
        <x:v/>
      </x:c>
      <x:c r="BC99" s="472" t="str">
        <x:f>IF($AN99="","",IF($AO99="지역개발기금",SUMIFS('3. 일출(의존)'!$AK$8:$AK$2000,'3. 일출(의존)'!$AS$8:$AS$2000,$AN99)+SUMIFS('3. 일출(자체)'!$AJ$8:$AJ$2000,'3. 일출(자체)'!$AM$8:$AM$2000,$AN99),IF($AO99="지방채",SUMIFS('3. 일출(의존)'!$AJ$8:$AJ$2000,'3. 일출(의존)'!$AS$8:$AS$2000,$AN99)+SUMIFS('3. 일출(자체)'!$AI$8:$AI$2000,'3. 일출(자체)'!$AM$8:$AM$2000,$AN99),0)))</x:f>
        <x:v/>
      </x:c>
      <x:c r="BD99" s="377" t="str">
        <x:f>IF($AN99="","",COUNTIF('3. 일출(의존)'!$AS$8:$AS$2000,$AN99)+COUNTIF('3. 일출(자체)'!$AM$8:$AM$2000,$AN99))</x:f>
        <x:v/>
      </x:c>
      <x:c r="BE99" s="374" t="str">
        <x:f t="shared" si="153"/>
        <x:v/>
      </x:c>
    </x:row>
    <x:row r="100" spans="1:57" s="20" customFormat="1" ht="80.099999999999994" customHeight="1">
      <x:c r="A100" s="155" t="str">
        <x:f>IF(D100="","",COUNTA($C$8:C100)-COUNTBLANK($C$8:C100)+6)</x:f>
        <x:v/>
      </x:c>
      <x:c r="B100" s="156" t="str">
        <x: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x:f>
        <x:v/>
      </x:c>
      <x:c r="C100" s="156" t="str">
        <x:f>IF(D100="","",IF(OR(D100="교육지원과",D100="총무과",D100="인사과"),"직접입력",VLOOKUP(D100,구분표!$A$3:$C$258,3,)))</x:f>
        <x:v/>
      </x:c>
      <x:c r="D100" s="219"/>
      <x:c r="E100" s="213"/>
      <x:c r="F100" s="388" t="str">
        <x:f t="shared" si="154"/>
        <x:v/>
      </x:c>
      <x:c r="G100" s="388" t="str">
        <x:f t="shared" si="154"/>
        <x:v/>
      </x:c>
      <x:c r="H100" s="213"/>
      <x:c r="I100" s="156" t="str">
        <x:f>IF(H100="","",VLOOKUP($H100,구분표!$O$3:$P$168,2,FALSE))</x:f>
        <x:v/>
      </x:c>
      <x:c r="J100" s="215"/>
      <x:c r="K100" s="459" t="str">
        <x:f t="shared" si="155"/>
        <x:v/>
      </x:c>
      <x:c r="L100" s="459" t="str">
        <x:f t="shared" si="156"/>
        <x:v/>
      </x:c>
      <x:c r="M100" s="461" t="str">
        <x:f t="shared" si="135"/>
        <x:v/>
      </x:c>
      <x:c r="N100" s="460"/>
      <x:c r="O100" s="461">
        <x:f t="shared" si="136"/>
        <x:v>0</x:v>
      </x:c>
      <x:c r="P100" s="462"/>
      <x:c r="Q100" s="463">
        <x:f t="shared" si="137"/>
        <x:v>0</x:v>
      </x:c>
      <x:c r="R100" s="162" t="str">
        <x:f t="shared" si="138"/>
        <x:v>X</x:v>
      </x:c>
      <x:c r="S100" s="216"/>
      <x:c r="T100" s="327"/>
      <x:c r="U100" s="217"/>
      <x:c r="V100" s="203"/>
      <x:c r="W100" s="217"/>
      <x:c r="X100" s="217"/>
      <x:c r="Y100" s="162" t="str">
        <x:f t="shared" si="139"/>
        <x:v/>
      </x:c>
      <x:c r="Z100" s="45"/>
      <x:c r="AA100" s="471" t="str">
        <x:f t="shared" si="140"/>
        <x:v/>
      </x:c>
      <x:c r="AB100" s="471" t="str">
        <x:f t="shared" si="141"/>
        <x:v/>
      </x:c>
      <x:c r="AC100" s="471" t="str">
        <x:f t="shared" si="142"/>
        <x:v/>
      </x:c>
      <x:c r="AD100" s="471" t="str">
        <x:f t="shared" si="143"/>
        <x:v/>
      </x:c>
      <x:c r="AE100" s="46"/>
      <x:c r="AF100" s="471" t="str">
        <x:f t="shared" si="144"/>
        <x:v/>
      </x:c>
      <x:c r="AG100" s="471" t="str">
        <x:f t="shared" si="145"/>
        <x:v/>
      </x:c>
      <x:c r="AH100" s="471" t="str">
        <x:f t="shared" si="146"/>
        <x:v/>
      </x:c>
      <x:c r="AI100" s="471" t="str">
        <x:f t="shared" si="147"/>
        <x:v/>
      </x:c>
      <x:c r="AJ100" s="87"/>
      <x:c r="AK100" s="374" t="str">
        <x:f>IF($AQ100="","",IF(OR($AL100="",$AL100="도비"),"",CONCATENATE($AQ100,"-",COUNTIF($AQ$8:$AQ100,$AQ100))))</x:f>
        <x:v/>
      </x:c>
      <x:c r="AL100" s="374" t="str">
        <x:f t="shared" si="148"/>
        <x:v/>
      </x:c>
      <x:c r="AM100" s="87"/>
      <x:c r="AN100" s="375" t="str">
        <x:f>IF($AQ100="","",IF(OR($AO100="",$AO100="국비",$AO100="자체"),"",CONCATENATE($AQ100,"-",$AO100,"-",COUNTIF($AQ$8:$AQ100,$AQ100))))</x:f>
        <x:v/>
      </x:c>
      <x:c r="AO100" s="375" t="str">
        <x:f t="shared" si="149"/>
        <x:v/>
      </x:c>
      <x:c r="AP100" s="87"/>
      <x:c r="AQ100" s="374" t="str">
        <x:f t="array" ref="AQ100:AQ100">IF(OR($D100="",$C100="직접입력",$B100="직접입력"),"",INDEX(구분표!$I$2:$I$337,MATCH(1,(구분표!$G$2:$G$337='3. 일입'!$B100)*(구분표!$E$2:$E$337='3. 일입'!$C100)*(구분표!$F$2:$F$337='3. 일입'!$D100),0)))</x:f>
        <x:v/>
      </x:c>
      <x:c r="AR100" s="87"/>
      <x:c r="AS100" s="472" t="str">
        <x:f>IF($AK100="","",SUMIFS('3. 일출(의존)'!$AB$7:$AB$1989,'3. 일출(의존)'!$AN$7:$AN$1989,$AK100))</x:f>
        <x:v/>
      </x:c>
      <x:c r="AT100" s="377" t="str">
        <x:f>IF($AK100="","",COUNTIF('3. 일출(의존)'!$AN$7:$AN$1989,$AK100))</x:f>
        <x:v/>
      </x:c>
      <x:c r="AU100" s="374" t="str">
        <x:f t="shared" si="150"/>
        <x:v/>
      </x:c>
      <x:c r="AV100" s="472" t="str">
        <x:f>IF($AN100="","",IF($AO100="지역개발기금",SUMIFS('3. 일출(의존)'!$AE$8:$AE$2000,'3. 일출(의존)'!$AS$8:$AS$2000,$AN100)+SUMIFS('3. 일출(자체)'!$AE$8:$AE$2000,'3. 일출(자체)'!$AM$8:$AM$2000,$AN100),IF($AO100="지방채",SUMIFS('3. 일출(의존)'!$AD$8:$AD$2000,'3. 일출(의존)'!$AS$8:$AS$2000,$AN100)+SUMIFS('3. 일출(자체)'!$AD$8:$AD$2000,'3. 일출(자체)'!$AM$8:$AM$2000,$AN100),0)))</x:f>
        <x:v/>
      </x:c>
      <x:c r="AW100" s="377" t="str">
        <x:f>IF($AN100="","",COUNTIF('3. 일출(의존)'!$AS$8:$AS$2000,$AN100)+COUNTIF('3. 일출(자체)'!$AM$8:$AM$2000,$AN100))</x:f>
        <x:v/>
      </x:c>
      <x:c r="AX100" s="374" t="str">
        <x:f t="shared" si="151"/>
        <x:v/>
      </x:c>
      <x:c r="AY100" s="91"/>
      <x:c r="AZ100" s="472" t="str">
        <x:f>IF($AK100="","",SUMIFS('3. 일출(의존)'!$AH$8:$AH$1989,'3. 일출(의존)'!$AN$8:$AN$1989,$AK100))</x:f>
        <x:v/>
      </x:c>
      <x:c r="BA100" s="377" t="str">
        <x:f>IF($AK100="","",COUNTIF('3. 일출(의존)'!$AN$7:$AN$1989,$AK100))</x:f>
        <x:v/>
      </x:c>
      <x:c r="BB100" s="374" t="str">
        <x:f t="shared" si="152"/>
        <x:v/>
      </x:c>
      <x:c r="BC100" s="472" t="str">
        <x:f>IF($AN100="","",IF($AO100="지역개발기금",SUMIFS('3. 일출(의존)'!$AK$8:$AK$2000,'3. 일출(의존)'!$AS$8:$AS$2000,$AN100)+SUMIFS('3. 일출(자체)'!$AJ$8:$AJ$2000,'3. 일출(자체)'!$AM$8:$AM$2000,$AN100),IF($AO100="지방채",SUMIFS('3. 일출(의존)'!$AJ$8:$AJ$2000,'3. 일출(의존)'!$AS$8:$AS$2000,$AN100)+SUMIFS('3. 일출(자체)'!$AI$8:$AI$2000,'3. 일출(자체)'!$AM$8:$AM$2000,$AN100),0)))</x:f>
        <x:v/>
      </x:c>
      <x:c r="BD100" s="377" t="str">
        <x:f>IF($AN100="","",COUNTIF('3. 일출(의존)'!$AS$8:$AS$2000,$AN100)+COUNTIF('3. 일출(자체)'!$AM$8:$AM$2000,$AN100))</x:f>
        <x:v/>
      </x:c>
      <x:c r="BE100" s="374" t="str">
        <x:f t="shared" si="153"/>
        <x:v/>
      </x:c>
    </x:row>
    <x:row r="101" spans="1:57" s="20" customFormat="1" ht="80.099999999999994" customHeight="1">
      <x:c r="A101" s="155" t="str">
        <x:f>IF(D101="","",COUNTA($C$8:C101)-COUNTBLANK($C$8:C101)+6)</x:f>
        <x:v/>
      </x:c>
      <x:c r="B101" s="156" t="str">
        <x: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x:f>
        <x:v/>
      </x:c>
      <x:c r="C101" s="156" t="str">
        <x:f>IF(D101="","",IF(OR(D101="교육지원과",D101="총무과",D101="인사과"),"직접입력",VLOOKUP(D101,구분표!$A$3:$C$258,3,)))</x:f>
        <x:v/>
      </x:c>
      <x:c r="D101" s="219"/>
      <x:c r="E101" s="213"/>
      <x:c r="F101" s="388" t="str">
        <x:f t="shared" si="154"/>
        <x:v/>
      </x:c>
      <x:c r="G101" s="388" t="str">
        <x:f t="shared" si="154"/>
        <x:v/>
      </x:c>
      <x:c r="H101" s="213"/>
      <x:c r="I101" s="156" t="str">
        <x:f>IF(H101="","",VLOOKUP($H101,구분표!$O$3:$P$168,2,FALSE))</x:f>
        <x:v/>
      </x:c>
      <x:c r="J101" s="215"/>
      <x:c r="K101" s="459" t="str">
        <x:f t="shared" si="155"/>
        <x:v/>
      </x:c>
      <x:c r="L101" s="459" t="str">
        <x:f t="shared" si="156"/>
        <x:v/>
      </x:c>
      <x:c r="M101" s="461" t="str">
        <x:f t="shared" si="135"/>
        <x:v/>
      </x:c>
      <x:c r="N101" s="460"/>
      <x:c r="O101" s="461">
        <x:f t="shared" si="136"/>
        <x:v>0</x:v>
      </x:c>
      <x:c r="P101" s="462"/>
      <x:c r="Q101" s="463">
        <x:f t="shared" si="137"/>
        <x:v>0</x:v>
      </x:c>
      <x:c r="R101" s="162" t="str">
        <x:f t="shared" si="138"/>
        <x:v>X</x:v>
      </x:c>
      <x:c r="S101" s="216"/>
      <x:c r="T101" s="327"/>
      <x:c r="U101" s="217"/>
      <x:c r="V101" s="203"/>
      <x:c r="W101" s="217"/>
      <x:c r="X101" s="217"/>
      <x:c r="Y101" s="162" t="str">
        <x:f t="shared" si="139"/>
        <x:v/>
      </x:c>
      <x:c r="Z101" s="45"/>
      <x:c r="AA101" s="471" t="str">
        <x:f t="shared" si="140"/>
        <x:v/>
      </x:c>
      <x:c r="AB101" s="471" t="str">
        <x:f t="shared" si="141"/>
        <x:v/>
      </x:c>
      <x:c r="AC101" s="471" t="str">
        <x:f t="shared" si="142"/>
        <x:v/>
      </x:c>
      <x:c r="AD101" s="471" t="str">
        <x:f t="shared" si="143"/>
        <x:v/>
      </x:c>
      <x:c r="AE101" s="46"/>
      <x:c r="AF101" s="471" t="str">
        <x:f t="shared" si="144"/>
        <x:v/>
      </x:c>
      <x:c r="AG101" s="471" t="str">
        <x:f t="shared" si="145"/>
        <x:v/>
      </x:c>
      <x:c r="AH101" s="471" t="str">
        <x:f t="shared" si="146"/>
        <x:v/>
      </x:c>
      <x:c r="AI101" s="471" t="str">
        <x:f t="shared" si="147"/>
        <x:v/>
      </x:c>
      <x:c r="AJ101" s="87"/>
      <x:c r="AK101" s="374" t="str">
        <x:f>IF($AQ101="","",IF(OR($AL101="",$AL101="도비"),"",CONCATENATE($AQ101,"-",COUNTIF($AQ$8:$AQ101,$AQ101))))</x:f>
        <x:v/>
      </x:c>
      <x:c r="AL101" s="374" t="str">
        <x:f t="shared" si="148"/>
        <x:v/>
      </x:c>
      <x:c r="AM101" s="87"/>
      <x:c r="AN101" s="375" t="str">
        <x:f>IF($AQ101="","",IF(OR($AO101="",$AO101="국비",$AO101="자체"),"",CONCATENATE($AQ101,"-",$AO101,"-",COUNTIF($AQ$8:$AQ101,$AQ101))))</x:f>
        <x:v/>
      </x:c>
      <x:c r="AO101" s="375" t="str">
        <x:f t="shared" si="149"/>
        <x:v/>
      </x:c>
      <x:c r="AP101" s="87"/>
      <x:c r="AQ101" s="374" t="str">
        <x:f t="array" ref="AQ101:AQ101">IF(OR($D101="",$C101="직접입력",$B101="직접입력"),"",INDEX(구분표!$I$2:$I$337,MATCH(1,(구분표!$G$2:$G$337='3. 일입'!$B101)*(구분표!$E$2:$E$337='3. 일입'!$C101)*(구분표!$F$2:$F$337='3. 일입'!$D101),0)))</x:f>
        <x:v/>
      </x:c>
      <x:c r="AR101" s="87"/>
      <x:c r="AS101" s="472" t="str">
        <x:f>IF($AK101="","",SUMIFS('3. 일출(의존)'!$AB$7:$AB$1989,'3. 일출(의존)'!$AN$7:$AN$1989,$AK101))</x:f>
        <x:v/>
      </x:c>
      <x:c r="AT101" s="377" t="str">
        <x:f>IF($AK101="","",COUNTIF('3. 일출(의존)'!$AN$7:$AN$1989,$AK101))</x:f>
        <x:v/>
      </x:c>
      <x:c r="AU101" s="374" t="str">
        <x:f t="shared" si="150"/>
        <x:v/>
      </x:c>
      <x:c r="AV101" s="472" t="str">
        <x:f>IF($AN101="","",IF($AO101="지역개발기금",SUMIFS('3. 일출(의존)'!$AE$8:$AE$2000,'3. 일출(의존)'!$AS$8:$AS$2000,$AN101)+SUMIFS('3. 일출(자체)'!$AE$8:$AE$2000,'3. 일출(자체)'!$AM$8:$AM$2000,$AN101),IF($AO101="지방채",SUMIFS('3. 일출(의존)'!$AD$8:$AD$2000,'3. 일출(의존)'!$AS$8:$AS$2000,$AN101)+SUMIFS('3. 일출(자체)'!$AD$8:$AD$2000,'3. 일출(자체)'!$AM$8:$AM$2000,$AN101),0)))</x:f>
        <x:v/>
      </x:c>
      <x:c r="AW101" s="377" t="str">
        <x:f>IF($AN101="","",COUNTIF('3. 일출(의존)'!$AS$8:$AS$2000,$AN101)+COUNTIF('3. 일출(자체)'!$AM$8:$AM$2000,$AN101))</x:f>
        <x:v/>
      </x:c>
      <x:c r="AX101" s="374" t="str">
        <x:f t="shared" si="151"/>
        <x:v/>
      </x:c>
      <x:c r="AY101" s="91"/>
      <x:c r="AZ101" s="472" t="str">
        <x:f>IF($AK101="","",SUMIFS('3. 일출(의존)'!$AH$8:$AH$1989,'3. 일출(의존)'!$AN$8:$AN$1989,$AK101))</x:f>
        <x:v/>
      </x:c>
      <x:c r="BA101" s="377" t="str">
        <x:f>IF($AK101="","",COUNTIF('3. 일출(의존)'!$AN$7:$AN$1989,$AK101))</x:f>
        <x:v/>
      </x:c>
      <x:c r="BB101" s="374" t="str">
        <x:f t="shared" si="152"/>
        <x:v/>
      </x:c>
      <x:c r="BC101" s="472" t="str">
        <x:f>IF($AN101="","",IF($AO101="지역개발기금",SUMIFS('3. 일출(의존)'!$AK$8:$AK$2000,'3. 일출(의존)'!$AS$8:$AS$2000,$AN101)+SUMIFS('3. 일출(자체)'!$AJ$8:$AJ$2000,'3. 일출(자체)'!$AM$8:$AM$2000,$AN101),IF($AO101="지방채",SUMIFS('3. 일출(의존)'!$AJ$8:$AJ$2000,'3. 일출(의존)'!$AS$8:$AS$2000,$AN101)+SUMIFS('3. 일출(자체)'!$AI$8:$AI$2000,'3. 일출(자체)'!$AM$8:$AM$2000,$AN101),0)))</x:f>
        <x:v/>
      </x:c>
      <x:c r="BD101" s="377" t="str">
        <x:f>IF($AN101="","",COUNTIF('3. 일출(의존)'!$AS$8:$AS$2000,$AN101)+COUNTIF('3. 일출(자체)'!$AM$8:$AM$2000,$AN101))</x:f>
        <x:v/>
      </x:c>
      <x:c r="BE101" s="374" t="str">
        <x:f t="shared" si="153"/>
        <x:v/>
      </x:c>
    </x:row>
    <x:row r="102" spans="1:57" s="20" customFormat="1" ht="80.099999999999994" customHeight="1">
      <x:c r="A102" s="155" t="str">
        <x:f>IF(D102="","",COUNTA($C$8:C102)-COUNTBLANK($C$8:C102)+6)</x:f>
        <x:v/>
      </x:c>
      <x:c r="B102" s="156" t="str">
        <x: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x:f>
        <x:v/>
      </x:c>
      <x:c r="C102" s="156" t="str">
        <x:f>IF(D102="","",IF(OR(D102="교육지원과",D102="총무과",D102="인사과"),"직접입력",VLOOKUP(D102,구분표!$A$3:$C$258,3,)))</x:f>
        <x:v/>
      </x:c>
      <x:c r="D102" s="219"/>
      <x:c r="E102" s="213"/>
      <x:c r="F102" s="388" t="str">
        <x:f t="shared" si="154"/>
        <x:v/>
      </x:c>
      <x:c r="G102" s="388" t="str">
        <x:f t="shared" si="154"/>
        <x:v/>
      </x:c>
      <x:c r="H102" s="213"/>
      <x:c r="I102" s="156" t="str">
        <x:f>IF(H102="","",VLOOKUP($H102,구분표!$O$3:$P$168,2,FALSE))</x:f>
        <x:v/>
      </x:c>
      <x:c r="J102" s="215"/>
      <x:c r="K102" s="459" t="str">
        <x:f t="shared" si="155"/>
        <x:v/>
      </x:c>
      <x:c r="L102" s="459" t="str">
        <x:f t="shared" si="156"/>
        <x:v/>
      </x:c>
      <x:c r="M102" s="461" t="str">
        <x:f t="shared" si="135"/>
        <x:v/>
      </x:c>
      <x:c r="N102" s="460"/>
      <x:c r="O102" s="461">
        <x:f t="shared" si="136"/>
        <x:v>0</x:v>
      </x:c>
      <x:c r="P102" s="462"/>
      <x:c r="Q102" s="463">
        <x:f t="shared" si="137"/>
        <x:v>0</x:v>
      </x:c>
      <x:c r="R102" s="162" t="str">
        <x:f t="shared" si="138"/>
        <x:v>X</x:v>
      </x:c>
      <x:c r="S102" s="216"/>
      <x:c r="T102" s="327"/>
      <x:c r="U102" s="217"/>
      <x:c r="V102" s="203"/>
      <x:c r="W102" s="217"/>
      <x:c r="X102" s="217"/>
      <x:c r="Y102" s="162" t="str">
        <x:f t="shared" si="139"/>
        <x:v/>
      </x:c>
      <x:c r="Z102" s="45"/>
      <x:c r="AA102" s="471" t="str">
        <x:f t="shared" si="140"/>
        <x:v/>
      </x:c>
      <x:c r="AB102" s="471" t="str">
        <x:f t="shared" si="141"/>
        <x:v/>
      </x:c>
      <x:c r="AC102" s="471" t="str">
        <x:f t="shared" si="142"/>
        <x:v/>
      </x:c>
      <x:c r="AD102" s="471" t="str">
        <x:f t="shared" si="143"/>
        <x:v/>
      </x:c>
      <x:c r="AE102" s="46"/>
      <x:c r="AF102" s="471" t="str">
        <x:f t="shared" si="144"/>
        <x:v/>
      </x:c>
      <x:c r="AG102" s="471" t="str">
        <x:f t="shared" si="145"/>
        <x:v/>
      </x:c>
      <x:c r="AH102" s="471" t="str">
        <x:f t="shared" si="146"/>
        <x:v/>
      </x:c>
      <x:c r="AI102" s="471" t="str">
        <x:f t="shared" si="147"/>
        <x:v/>
      </x:c>
      <x:c r="AJ102" s="87"/>
      <x:c r="AK102" s="374" t="str">
        <x:f>IF($AQ102="","",IF(OR($AL102="",$AL102="도비"),"",CONCATENATE($AQ102,"-",COUNTIF($AQ$8:$AQ102,$AQ102))))</x:f>
        <x:v/>
      </x:c>
      <x:c r="AL102" s="374" t="str">
        <x:f t="shared" si="148"/>
        <x:v/>
      </x:c>
      <x:c r="AM102" s="87"/>
      <x:c r="AN102" s="375" t="str">
        <x:f>IF($AQ102="","",IF(OR($AO102="",$AO102="국비",$AO102="자체"),"",CONCATENATE($AQ102,"-",$AO102,"-",COUNTIF($AQ$8:$AQ102,$AQ102))))</x:f>
        <x:v/>
      </x:c>
      <x:c r="AO102" s="375" t="str">
        <x:f t="shared" si="149"/>
        <x:v/>
      </x:c>
      <x:c r="AP102" s="87"/>
      <x:c r="AQ102" s="374" t="str">
        <x:f t="array" ref="AQ102:AQ102">IF(OR($D102="",$C102="직접입력",$B102="직접입력"),"",INDEX(구분표!$I$2:$I$337,MATCH(1,(구분표!$G$2:$G$337='3. 일입'!$B102)*(구분표!$E$2:$E$337='3. 일입'!$C102)*(구분표!$F$2:$F$337='3. 일입'!$D102),0)))</x:f>
        <x:v/>
      </x:c>
      <x:c r="AR102" s="87"/>
      <x:c r="AS102" s="472" t="str">
        <x:f>IF($AK102="","",SUMIFS('3. 일출(의존)'!$AB$7:$AB$1989,'3. 일출(의존)'!$AN$7:$AN$1989,$AK102))</x:f>
        <x:v/>
      </x:c>
      <x:c r="AT102" s="377" t="str">
        <x:f>IF($AK102="","",COUNTIF('3. 일출(의존)'!$AN$7:$AN$1989,$AK102))</x:f>
        <x:v/>
      </x:c>
      <x:c r="AU102" s="374" t="str">
        <x:f t="shared" si="150"/>
        <x:v/>
      </x:c>
      <x:c r="AV102" s="472" t="str">
        <x:f>IF($AN102="","",IF($AO102="지역개발기금",SUMIFS('3. 일출(의존)'!$AE$8:$AE$2000,'3. 일출(의존)'!$AS$8:$AS$2000,$AN102)+SUMIFS('3. 일출(자체)'!$AE$8:$AE$2000,'3. 일출(자체)'!$AM$8:$AM$2000,$AN102),IF($AO102="지방채",SUMIFS('3. 일출(의존)'!$AD$8:$AD$2000,'3. 일출(의존)'!$AS$8:$AS$2000,$AN102)+SUMIFS('3. 일출(자체)'!$AD$8:$AD$2000,'3. 일출(자체)'!$AM$8:$AM$2000,$AN102),0)))</x:f>
        <x:v/>
      </x:c>
      <x:c r="AW102" s="377" t="str">
        <x:f>IF($AN102="","",COUNTIF('3. 일출(의존)'!$AS$8:$AS$2000,$AN102)+COUNTIF('3. 일출(자체)'!$AM$8:$AM$2000,$AN102))</x:f>
        <x:v/>
      </x:c>
      <x:c r="AX102" s="374" t="str">
        <x:f t="shared" si="151"/>
        <x:v/>
      </x:c>
      <x:c r="AY102" s="91"/>
      <x:c r="AZ102" s="472" t="str">
        <x:f>IF($AK102="","",SUMIFS('3. 일출(의존)'!$AH$8:$AH$1989,'3. 일출(의존)'!$AN$8:$AN$1989,$AK102))</x:f>
        <x:v/>
      </x:c>
      <x:c r="BA102" s="377" t="str">
        <x:f>IF($AK102="","",COUNTIF('3. 일출(의존)'!$AN$7:$AN$1989,$AK102))</x:f>
        <x:v/>
      </x:c>
      <x:c r="BB102" s="374" t="str">
        <x:f t="shared" si="152"/>
        <x:v/>
      </x:c>
      <x:c r="BC102" s="472" t="str">
        <x:f>IF($AN102="","",IF($AO102="지역개발기금",SUMIFS('3. 일출(의존)'!$AK$8:$AK$2000,'3. 일출(의존)'!$AS$8:$AS$2000,$AN102)+SUMIFS('3. 일출(자체)'!$AJ$8:$AJ$2000,'3. 일출(자체)'!$AM$8:$AM$2000,$AN102),IF($AO102="지방채",SUMIFS('3. 일출(의존)'!$AJ$8:$AJ$2000,'3. 일출(의존)'!$AS$8:$AS$2000,$AN102)+SUMIFS('3. 일출(자체)'!$AI$8:$AI$2000,'3. 일출(자체)'!$AM$8:$AM$2000,$AN102),0)))</x:f>
        <x:v/>
      </x:c>
      <x:c r="BD102" s="377" t="str">
        <x:f>IF($AN102="","",COUNTIF('3. 일출(의존)'!$AS$8:$AS$2000,$AN102)+COUNTIF('3. 일출(자체)'!$AM$8:$AM$2000,$AN102))</x:f>
        <x:v/>
      </x:c>
      <x:c r="BE102" s="374" t="str">
        <x:f t="shared" si="153"/>
        <x:v/>
      </x:c>
    </x:row>
    <x:row r="103" spans="1:57" s="20" customFormat="1" ht="80.099999999999994" customHeight="1">
      <x:c r="A103" s="155" t="str">
        <x:f>IF(D103="","",COUNTA($C$8:C103)-COUNTBLANK($C$8:C103)+6)</x:f>
        <x:v/>
      </x:c>
      <x:c r="B103" s="156" t="str">
        <x:f>IF(D103="","",IF(OR(C103="직접입력",D103="북부지원"),"직접입력",IF(OR(AND(D103="인사과",C103="의회사무처"),AND(D103="총무과",C103="의회사무처")),"의회운영위원회",IF(OR(C103="직접입력",D103="북부지원"),"직접입력",IF(OR(AND(D103="인사과",C103="자치행정국"),AND(D103="총무과",C103="자치행정국")),"안전행정위원회",VLOOKUP(D103,구분표!$A$3:$C$258,2,))))))</x:f>
        <x:v/>
      </x:c>
      <x:c r="C103" s="156" t="str">
        <x:f>IF(D103="","",IF(OR(D103="교육지원과",D103="총무과",D103="인사과"),"직접입력",VLOOKUP(D103,구분표!$A$3:$C$258,3,)))</x:f>
        <x:v/>
      </x:c>
      <x:c r="D103" s="219"/>
      <x:c r="E103" s="213"/>
      <x:c r="F103" s="388" t="str">
        <x:f t="shared" si="154"/>
        <x:v/>
      </x:c>
      <x:c r="G103" s="388" t="str">
        <x:f t="shared" si="154"/>
        <x:v/>
      </x:c>
      <x:c r="H103" s="213"/>
      <x:c r="I103" s="156" t="str">
        <x:f>IF(H103="","",VLOOKUP($H103,구분표!$O$3:$P$168,2,FALSE))</x:f>
        <x:v/>
      </x:c>
      <x:c r="J103" s="215"/>
      <x:c r="K103" s="459" t="str">
        <x:f t="shared" si="155"/>
        <x:v/>
      </x:c>
      <x:c r="L103" s="459" t="str">
        <x:f t="shared" si="156"/>
        <x:v/>
      </x:c>
      <x:c r="M103" s="461" t="str">
        <x:f t="shared" si="135"/>
        <x:v/>
      </x:c>
      <x:c r="N103" s="460"/>
      <x:c r="O103" s="461">
        <x:f t="shared" si="136"/>
        <x:v>0</x:v>
      </x:c>
      <x:c r="P103" s="462"/>
      <x:c r="Q103" s="463">
        <x:f t="shared" si="137"/>
        <x:v>0</x:v>
      </x:c>
      <x:c r="R103" s="162" t="str">
        <x:f t="shared" si="138"/>
        <x:v>X</x:v>
      </x:c>
      <x:c r="S103" s="216"/>
      <x:c r="T103" s="327"/>
      <x:c r="U103" s="217"/>
      <x:c r="V103" s="203"/>
      <x:c r="W103" s="217"/>
      <x:c r="X103" s="217"/>
      <x:c r="Y103" s="162" t="str">
        <x:f t="shared" si="139"/>
        <x:v/>
      </x:c>
      <x:c r="Z103" s="45"/>
      <x:c r="AA103" s="471" t="str">
        <x:f t="shared" si="140"/>
        <x:v/>
      </x:c>
      <x:c r="AB103" s="471" t="str">
        <x:f t="shared" si="141"/>
        <x:v/>
      </x:c>
      <x:c r="AC103" s="471" t="str">
        <x:f t="shared" si="142"/>
        <x:v/>
      </x:c>
      <x:c r="AD103" s="471" t="str">
        <x:f t="shared" si="143"/>
        <x:v/>
      </x:c>
      <x:c r="AE103" s="46"/>
      <x:c r="AF103" s="471" t="str">
        <x:f t="shared" si="144"/>
        <x:v/>
      </x:c>
      <x:c r="AG103" s="471" t="str">
        <x:f t="shared" si="145"/>
        <x:v/>
      </x:c>
      <x:c r="AH103" s="471" t="str">
        <x:f t="shared" si="146"/>
        <x:v/>
      </x:c>
      <x:c r="AI103" s="471" t="str">
        <x:f t="shared" si="147"/>
        <x:v/>
      </x:c>
      <x:c r="AJ103" s="87"/>
      <x:c r="AK103" s="374" t="str">
        <x:f>IF($AQ103="","",IF(OR($AL103="",$AL103="도비"),"",CONCATENATE($AQ103,"-",COUNTIF($AQ$8:$AQ103,$AQ103))))</x:f>
        <x:v/>
      </x:c>
      <x:c r="AL103" s="374" t="str">
        <x:f t="shared" si="148"/>
        <x:v/>
      </x:c>
      <x:c r="AM103" s="87"/>
      <x:c r="AN103" s="375" t="str">
        <x:f>IF($AQ103="","",IF(OR($AO103="",$AO103="국비",$AO103="자체"),"",CONCATENATE($AQ103,"-",$AO103,"-",COUNTIF($AQ$8:$AQ103,$AQ103))))</x:f>
        <x:v/>
      </x:c>
      <x:c r="AO103" s="375" t="str">
        <x:f t="shared" si="149"/>
        <x:v/>
      </x:c>
      <x:c r="AP103" s="87"/>
      <x:c r="AQ103" s="374" t="str">
        <x:f t="array" ref="AQ103:AQ103">IF(OR($D103="",$C103="직접입력",$B103="직접입력"),"",INDEX(구분표!$I$2:$I$337,MATCH(1,(구분표!$G$2:$G$337='3. 일입'!$B103)*(구분표!$E$2:$E$337='3. 일입'!$C103)*(구분표!$F$2:$F$337='3. 일입'!$D103),0)))</x:f>
        <x:v/>
      </x:c>
      <x:c r="AR103" s="87"/>
      <x:c r="AS103" s="472" t="str">
        <x:f>IF($AK103="","",SUMIFS('3. 일출(의존)'!$AB$7:$AB$1989,'3. 일출(의존)'!$AN$7:$AN$1989,$AK103))</x:f>
        <x:v/>
      </x:c>
      <x:c r="AT103" s="377" t="str">
        <x:f>IF($AK103="","",COUNTIF('3. 일출(의존)'!$AN$7:$AN$1989,$AK103))</x:f>
        <x:v/>
      </x:c>
      <x:c r="AU103" s="374" t="str">
        <x:f t="shared" si="150"/>
        <x:v/>
      </x:c>
      <x:c r="AV103" s="472" t="str">
        <x:f>IF($AN103="","",IF($AO103="지역개발기금",SUMIFS('3. 일출(의존)'!$AE$8:$AE$2000,'3. 일출(의존)'!$AS$8:$AS$2000,$AN103)+SUMIFS('3. 일출(자체)'!$AE$8:$AE$2000,'3. 일출(자체)'!$AM$8:$AM$2000,$AN103),IF($AO103="지방채",SUMIFS('3. 일출(의존)'!$AD$8:$AD$2000,'3. 일출(의존)'!$AS$8:$AS$2000,$AN103)+SUMIFS('3. 일출(자체)'!$AD$8:$AD$2000,'3. 일출(자체)'!$AM$8:$AM$2000,$AN103),0)))</x:f>
        <x:v/>
      </x:c>
      <x:c r="AW103" s="377" t="str">
        <x:f>IF($AN103="","",COUNTIF('3. 일출(의존)'!$AS$8:$AS$2000,$AN103)+COUNTIF('3. 일출(자체)'!$AM$8:$AM$2000,$AN103))</x:f>
        <x:v/>
      </x:c>
      <x:c r="AX103" s="374" t="str">
        <x:f t="shared" si="151"/>
        <x:v/>
      </x:c>
      <x:c r="AY103" s="91"/>
      <x:c r="AZ103" s="472" t="str">
        <x:f>IF($AK103="","",SUMIFS('3. 일출(의존)'!$AH$8:$AH$1989,'3. 일출(의존)'!$AN$8:$AN$1989,$AK103))</x:f>
        <x:v/>
      </x:c>
      <x:c r="BA103" s="377" t="str">
        <x:f>IF($AK103="","",COUNTIF('3. 일출(의존)'!$AN$7:$AN$1989,$AK103))</x:f>
        <x:v/>
      </x:c>
      <x:c r="BB103" s="374" t="str">
        <x:f t="shared" si="152"/>
        <x:v/>
      </x:c>
      <x:c r="BC103" s="472" t="str">
        <x:f>IF($AN103="","",IF($AO103="지역개발기금",SUMIFS('3. 일출(의존)'!$AK$8:$AK$2000,'3. 일출(의존)'!$AS$8:$AS$2000,$AN103)+SUMIFS('3. 일출(자체)'!$AJ$8:$AJ$2000,'3. 일출(자체)'!$AM$8:$AM$2000,$AN103),IF($AO103="지방채",SUMIFS('3. 일출(의존)'!$AJ$8:$AJ$2000,'3. 일출(의존)'!$AS$8:$AS$2000,$AN103)+SUMIFS('3. 일출(자체)'!$AI$8:$AI$2000,'3. 일출(자체)'!$AM$8:$AM$2000,$AN103),0)))</x:f>
        <x:v/>
      </x:c>
      <x:c r="BD103" s="377" t="str">
        <x:f>IF($AN103="","",COUNTIF('3. 일출(의존)'!$AS$8:$AS$2000,$AN103)+COUNTIF('3. 일출(자체)'!$AM$8:$AM$2000,$AN103))</x:f>
        <x:v/>
      </x:c>
      <x:c r="BE103" s="374" t="str">
        <x:f t="shared" si="153"/>
        <x:v/>
      </x:c>
    </x:row>
    <x:row r="104" spans="1:57" s="20" customFormat="1" ht="80.099999999999994" customHeight="1">
      <x:c r="A104" s="155" t="str">
        <x:f>IF(D104="","",COUNTA($C$8:C104)-COUNTBLANK($C$8:C104)+6)</x:f>
        <x:v/>
      </x:c>
      <x:c r="B104" s="156" t="str">
        <x: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x:f>
        <x:v/>
      </x:c>
      <x:c r="C104" s="156" t="str">
        <x:f>IF(D104="","",IF(OR(D104="교육지원과",D104="총무과",D104="인사과"),"직접입력",VLOOKUP(D104,구분표!$A$3:$C$258,3,)))</x:f>
        <x:v/>
      </x:c>
      <x:c r="D104" s="219"/>
      <x:c r="E104" s="213"/>
      <x:c r="F104" s="388" t="str">
        <x:f t="shared" si="154"/>
        <x:v/>
      </x:c>
      <x:c r="G104" s="388" t="str">
        <x:f t="shared" si="154"/>
        <x:v/>
      </x:c>
      <x:c r="H104" s="213"/>
      <x:c r="I104" s="156" t="str">
        <x:f>IF(H104="","",VLOOKUP($H104,구분표!$O$3:$P$168,2,FALSE))</x:f>
        <x:v/>
      </x:c>
      <x:c r="J104" s="215"/>
      <x:c r="K104" s="459" t="str">
        <x:f t="shared" si="155"/>
        <x:v/>
      </x:c>
      <x:c r="L104" s="459" t="str">
        <x:f t="shared" si="156"/>
        <x:v/>
      </x:c>
      <x:c r="M104" s="461" t="str">
        <x:f t="shared" si="135"/>
        <x:v/>
      </x:c>
      <x:c r="N104" s="460"/>
      <x:c r="O104" s="461">
        <x:f t="shared" si="136"/>
        <x:v>0</x:v>
      </x:c>
      <x:c r="P104" s="462"/>
      <x:c r="Q104" s="463">
        <x:f t="shared" si="137"/>
        <x:v>0</x:v>
      </x:c>
      <x:c r="R104" s="162" t="str">
        <x:f t="shared" si="138"/>
        <x:v>X</x:v>
      </x:c>
      <x:c r="S104" s="216"/>
      <x:c r="T104" s="327"/>
      <x:c r="U104" s="217"/>
      <x:c r="V104" s="203"/>
      <x:c r="W104" s="217"/>
      <x:c r="X104" s="217"/>
      <x:c r="Y104" s="162" t="str">
        <x:f t="shared" si="139"/>
        <x:v/>
      </x:c>
      <x:c r="Z104" s="45"/>
      <x:c r="AA104" s="471" t="str">
        <x:f t="shared" si="140"/>
        <x:v/>
      </x:c>
      <x:c r="AB104" s="471" t="str">
        <x:f t="shared" si="141"/>
        <x:v/>
      </x:c>
      <x:c r="AC104" s="471" t="str">
        <x:f t="shared" si="142"/>
        <x:v/>
      </x:c>
      <x:c r="AD104" s="471" t="str">
        <x:f t="shared" si="143"/>
        <x:v/>
      </x:c>
      <x:c r="AE104" s="46"/>
      <x:c r="AF104" s="471" t="str">
        <x:f t="shared" si="144"/>
        <x:v/>
      </x:c>
      <x:c r="AG104" s="471" t="str">
        <x:f t="shared" si="145"/>
        <x:v/>
      </x:c>
      <x:c r="AH104" s="471" t="str">
        <x:f t="shared" si="146"/>
        <x:v/>
      </x:c>
      <x:c r="AI104" s="471" t="str">
        <x:f t="shared" si="147"/>
        <x:v/>
      </x:c>
      <x:c r="AJ104" s="87"/>
      <x:c r="AK104" s="374" t="str">
        <x:f>IF($AQ104="","",IF(OR($AL104="",$AL104="도비"),"",CONCATENATE($AQ104,"-",COUNTIF($AQ$8:$AQ104,$AQ104))))</x:f>
        <x:v/>
      </x:c>
      <x:c r="AL104" s="374" t="str">
        <x:f t="shared" si="148"/>
        <x:v/>
      </x:c>
      <x:c r="AM104" s="87"/>
      <x:c r="AN104" s="375" t="str">
        <x:f>IF($AQ104="","",IF(OR($AO104="",$AO104="국비",$AO104="자체"),"",CONCATENATE($AQ104,"-",$AO104,"-",COUNTIF($AQ$8:$AQ104,$AQ104))))</x:f>
        <x:v/>
      </x:c>
      <x:c r="AO104" s="375" t="str">
        <x:f t="shared" si="149"/>
        <x:v/>
      </x:c>
      <x:c r="AP104" s="87"/>
      <x:c r="AQ104" s="374" t="str">
        <x:f t="array" ref="AQ104:AQ104">IF(OR($D104="",$C104="직접입력",$B104="직접입력"),"",INDEX(구분표!$I$2:$I$337,MATCH(1,(구분표!$G$2:$G$337='3. 일입'!$B104)*(구분표!$E$2:$E$337='3. 일입'!$C104)*(구분표!$F$2:$F$337='3. 일입'!$D104),0)))</x:f>
        <x:v/>
      </x:c>
      <x:c r="AR104" s="87"/>
      <x:c r="AS104" s="472" t="str">
        <x:f>IF($AK104="","",SUMIFS('3. 일출(의존)'!$AB$7:$AB$1989,'3. 일출(의존)'!$AN$7:$AN$1989,$AK104))</x:f>
        <x:v/>
      </x:c>
      <x:c r="AT104" s="377" t="str">
        <x:f>IF($AK104="","",COUNTIF('3. 일출(의존)'!$AN$7:$AN$1989,$AK104))</x:f>
        <x:v/>
      </x:c>
      <x:c r="AU104" s="374" t="str">
        <x:f t="shared" si="150"/>
        <x:v/>
      </x:c>
      <x:c r="AV104" s="472" t="str">
        <x:f>IF($AN104="","",IF($AO104="지역개발기금",SUMIFS('3. 일출(의존)'!$AE$8:$AE$2000,'3. 일출(의존)'!$AS$8:$AS$2000,$AN104)+SUMIFS('3. 일출(자체)'!$AE$8:$AE$2000,'3. 일출(자체)'!$AM$8:$AM$2000,$AN104),IF($AO104="지방채",SUMIFS('3. 일출(의존)'!$AD$8:$AD$2000,'3. 일출(의존)'!$AS$8:$AS$2000,$AN104)+SUMIFS('3. 일출(자체)'!$AD$8:$AD$2000,'3. 일출(자체)'!$AM$8:$AM$2000,$AN104),0)))</x:f>
        <x:v/>
      </x:c>
      <x:c r="AW104" s="377" t="str">
        <x:f>IF($AN104="","",COUNTIF('3. 일출(의존)'!$AS$8:$AS$2000,$AN104)+COUNTIF('3. 일출(자체)'!$AM$8:$AM$2000,$AN104))</x:f>
        <x:v/>
      </x:c>
      <x:c r="AX104" s="374" t="str">
        <x:f t="shared" si="151"/>
        <x:v/>
      </x:c>
      <x:c r="AY104" s="91"/>
      <x:c r="AZ104" s="472" t="str">
        <x:f>IF($AK104="","",SUMIFS('3. 일출(의존)'!$AH$8:$AH$1989,'3. 일출(의존)'!$AN$8:$AN$1989,$AK104))</x:f>
        <x:v/>
      </x:c>
      <x:c r="BA104" s="377" t="str">
        <x:f>IF($AK104="","",COUNTIF('3. 일출(의존)'!$AN$7:$AN$1989,$AK104))</x:f>
        <x:v/>
      </x:c>
      <x:c r="BB104" s="374" t="str">
        <x:f t="shared" si="152"/>
        <x:v/>
      </x:c>
      <x:c r="BC104" s="472" t="str">
        <x:f>IF($AN104="","",IF($AO104="지역개발기금",SUMIFS('3. 일출(의존)'!$AK$8:$AK$2000,'3. 일출(의존)'!$AS$8:$AS$2000,$AN104)+SUMIFS('3. 일출(자체)'!$AJ$8:$AJ$2000,'3. 일출(자체)'!$AM$8:$AM$2000,$AN104),IF($AO104="지방채",SUMIFS('3. 일출(의존)'!$AJ$8:$AJ$2000,'3. 일출(의존)'!$AS$8:$AS$2000,$AN104)+SUMIFS('3. 일출(자체)'!$AI$8:$AI$2000,'3. 일출(자체)'!$AM$8:$AM$2000,$AN104),0)))</x:f>
        <x:v/>
      </x:c>
      <x:c r="BD104" s="377" t="str">
        <x:f>IF($AN104="","",COUNTIF('3. 일출(의존)'!$AS$8:$AS$2000,$AN104)+COUNTIF('3. 일출(자체)'!$AM$8:$AM$2000,$AN104))</x:f>
        <x:v/>
      </x:c>
      <x:c r="BE104" s="374" t="str">
        <x:f t="shared" si="153"/>
        <x:v/>
      </x:c>
    </x:row>
    <x:row r="105" spans="1:57" s="20" customFormat="1" ht="80.099999999999994" customHeight="1">
      <x:c r="A105" s="155" t="str">
        <x:f>IF(D105="","",COUNTA($C$8:C105)-COUNTBLANK($C$8:C105)+6)</x:f>
        <x:v/>
      </x:c>
      <x:c r="B105" s="156" t="str">
        <x: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x:f>
        <x:v/>
      </x:c>
      <x:c r="C105" s="156" t="str">
        <x:f>IF(D105="","",IF(OR(D105="교육지원과",D105="총무과",D105="인사과"),"직접입력",VLOOKUP(D105,구분표!$A$3:$C$258,3,)))</x:f>
        <x:v/>
      </x:c>
      <x:c r="D105" s="219"/>
      <x:c r="E105" s="213"/>
      <x:c r="F105" s="388" t="str">
        <x:f t="shared" si="154"/>
        <x:v/>
      </x:c>
      <x:c r="G105" s="388" t="str">
        <x:f t="shared" si="154"/>
        <x:v/>
      </x:c>
      <x:c r="H105" s="213"/>
      <x:c r="I105" s="156" t="str">
        <x:f>IF(H105="","",VLOOKUP($H105,구분표!$O$3:$P$168,2,FALSE))</x:f>
        <x:v/>
      </x:c>
      <x:c r="J105" s="215"/>
      <x:c r="K105" s="459" t="str">
        <x:f t="shared" si="155"/>
        <x:v/>
      </x:c>
      <x:c r="L105" s="459" t="str">
        <x:f t="shared" si="156"/>
        <x:v/>
      </x:c>
      <x:c r="M105" s="461" t="str">
        <x:f t="shared" si="135"/>
        <x:v/>
      </x:c>
      <x:c r="N105" s="460"/>
      <x:c r="O105" s="461">
        <x:f t="shared" si="136"/>
        <x:v>0</x:v>
      </x:c>
      <x:c r="P105" s="462"/>
      <x:c r="Q105" s="463">
        <x:f t="shared" si="137"/>
        <x:v>0</x:v>
      </x:c>
      <x:c r="R105" s="162" t="str">
        <x:f t="shared" si="138"/>
        <x:v>X</x:v>
      </x:c>
      <x:c r="S105" s="216"/>
      <x:c r="T105" s="327"/>
      <x:c r="U105" s="217"/>
      <x:c r="V105" s="203"/>
      <x:c r="W105" s="217"/>
      <x:c r="X105" s="217"/>
      <x:c r="Y105" s="162" t="str">
        <x:f t="shared" si="139"/>
        <x:v/>
      </x:c>
      <x:c r="Z105" s="45"/>
      <x:c r="AA105" s="471" t="str">
        <x:f t="shared" si="140"/>
        <x:v/>
      </x:c>
      <x:c r="AB105" s="471" t="str">
        <x:f t="shared" si="141"/>
        <x:v/>
      </x:c>
      <x:c r="AC105" s="471" t="str">
        <x:f t="shared" si="142"/>
        <x:v/>
      </x:c>
      <x:c r="AD105" s="471" t="str">
        <x:f t="shared" si="143"/>
        <x:v/>
      </x:c>
      <x:c r="AE105" s="46"/>
      <x:c r="AF105" s="471" t="str">
        <x:f t="shared" si="144"/>
        <x:v/>
      </x:c>
      <x:c r="AG105" s="471" t="str">
        <x:f t="shared" si="145"/>
        <x:v/>
      </x:c>
      <x:c r="AH105" s="471" t="str">
        <x:f t="shared" si="146"/>
        <x:v/>
      </x:c>
      <x:c r="AI105" s="471" t="str">
        <x:f t="shared" si="147"/>
        <x:v/>
      </x:c>
      <x:c r="AJ105" s="87"/>
      <x:c r="AK105" s="374" t="str">
        <x:f>IF($AQ105="","",IF(OR($AL105="",$AL105="도비"),"",CONCATENATE($AQ105,"-",COUNTIF($AQ$8:$AQ105,$AQ105))))</x:f>
        <x:v/>
      </x:c>
      <x:c r="AL105" s="374" t="str">
        <x:f t="shared" si="148"/>
        <x:v/>
      </x:c>
      <x:c r="AM105" s="87"/>
      <x:c r="AN105" s="375" t="str">
        <x:f>IF($AQ105="","",IF(OR($AO105="",$AO105="국비",$AO105="자체"),"",CONCATENATE($AQ105,"-",$AO105,"-",COUNTIF($AQ$8:$AQ105,$AQ105))))</x:f>
        <x:v/>
      </x:c>
      <x:c r="AO105" s="375" t="str">
        <x:f t="shared" si="149"/>
        <x:v/>
      </x:c>
      <x:c r="AP105" s="87"/>
      <x:c r="AQ105" s="374" t="str">
        <x:f t="array" ref="AQ105:AQ105">IF(OR($D105="",$C105="직접입력",$B105="직접입력"),"",INDEX(구분표!$I$2:$I$337,MATCH(1,(구분표!$G$2:$G$337='3. 일입'!$B105)*(구분표!$E$2:$E$337='3. 일입'!$C105)*(구분표!$F$2:$F$337='3. 일입'!$D105),0)))</x:f>
        <x:v/>
      </x:c>
      <x:c r="AR105" s="87"/>
      <x:c r="AS105" s="472" t="str">
        <x:f>IF($AK105="","",SUMIFS('3. 일출(의존)'!$AB$7:$AB$1989,'3. 일출(의존)'!$AN$7:$AN$1989,$AK105))</x:f>
        <x:v/>
      </x:c>
      <x:c r="AT105" s="377" t="str">
        <x:f>IF($AK105="","",COUNTIF('3. 일출(의존)'!$AN$7:$AN$1989,$AK105))</x:f>
        <x:v/>
      </x:c>
      <x:c r="AU105" s="374" t="str">
        <x:f t="shared" si="150"/>
        <x:v/>
      </x:c>
      <x:c r="AV105" s="472" t="str">
        <x:f>IF($AN105="","",IF($AO105="지역개발기금",SUMIFS('3. 일출(의존)'!$AE$8:$AE$2000,'3. 일출(의존)'!$AS$8:$AS$2000,$AN105)+SUMIFS('3. 일출(자체)'!$AE$8:$AE$2000,'3. 일출(자체)'!$AM$8:$AM$2000,$AN105),IF($AO105="지방채",SUMIFS('3. 일출(의존)'!$AD$8:$AD$2000,'3. 일출(의존)'!$AS$8:$AS$2000,$AN105)+SUMIFS('3. 일출(자체)'!$AD$8:$AD$2000,'3. 일출(자체)'!$AM$8:$AM$2000,$AN105),0)))</x:f>
        <x:v/>
      </x:c>
      <x:c r="AW105" s="377" t="str">
        <x:f>IF($AN105="","",COUNTIF('3. 일출(의존)'!$AS$8:$AS$2000,$AN105)+COUNTIF('3. 일출(자체)'!$AM$8:$AM$2000,$AN105))</x:f>
        <x:v/>
      </x:c>
      <x:c r="AX105" s="374" t="str">
        <x:f t="shared" si="151"/>
        <x:v/>
      </x:c>
      <x:c r="AY105" s="91"/>
      <x:c r="AZ105" s="472" t="str">
        <x:f>IF($AK105="","",SUMIFS('3. 일출(의존)'!$AH$8:$AH$1989,'3. 일출(의존)'!$AN$8:$AN$1989,$AK105))</x:f>
        <x:v/>
      </x:c>
      <x:c r="BA105" s="377" t="str">
        <x:f>IF($AK105="","",COUNTIF('3. 일출(의존)'!$AN$7:$AN$1989,$AK105))</x:f>
        <x:v/>
      </x:c>
      <x:c r="BB105" s="374" t="str">
        <x:f t="shared" si="152"/>
        <x:v/>
      </x:c>
      <x:c r="BC105" s="472" t="str">
        <x:f>IF($AN105="","",IF($AO105="지역개발기금",SUMIFS('3. 일출(의존)'!$AK$8:$AK$2000,'3. 일출(의존)'!$AS$8:$AS$2000,$AN105)+SUMIFS('3. 일출(자체)'!$AJ$8:$AJ$2000,'3. 일출(자체)'!$AM$8:$AM$2000,$AN105),IF($AO105="지방채",SUMIFS('3. 일출(의존)'!$AJ$8:$AJ$2000,'3. 일출(의존)'!$AS$8:$AS$2000,$AN105)+SUMIFS('3. 일출(자체)'!$AI$8:$AI$2000,'3. 일출(자체)'!$AM$8:$AM$2000,$AN105),0)))</x:f>
        <x:v/>
      </x:c>
      <x:c r="BD105" s="377" t="str">
        <x:f>IF($AN105="","",COUNTIF('3. 일출(의존)'!$AS$8:$AS$2000,$AN105)+COUNTIF('3. 일출(자체)'!$AM$8:$AM$2000,$AN105))</x:f>
        <x:v/>
      </x:c>
      <x:c r="BE105" s="374" t="str">
        <x:f t="shared" si="153"/>
        <x:v/>
      </x:c>
    </x:row>
    <x:row r="106" spans="1:57" s="20" customFormat="1" ht="80.099999999999994" customHeight="1">
      <x:c r="A106" s="155" t="str">
        <x:f>IF(D106="","",COUNTA($C$8:C106)-COUNTBLANK($C$8:C106)+6)</x:f>
        <x:v/>
      </x:c>
      <x:c r="B106" s="156" t="str">
        <x: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x:f>
        <x:v/>
      </x:c>
      <x:c r="C106" s="156" t="str">
        <x:f>IF(D106="","",IF(OR(D106="교육지원과",D106="총무과",D106="인사과"),"직접입력",VLOOKUP(D106,구분표!$A$3:$C$258,3,)))</x:f>
        <x:v/>
      </x:c>
      <x:c r="D106" s="219"/>
      <x:c r="E106" s="213"/>
      <x:c r="F106" s="388" t="str">
        <x:f t="shared" si="154"/>
        <x:v/>
      </x:c>
      <x:c r="G106" s="388" t="str">
        <x:f t="shared" si="154"/>
        <x:v/>
      </x:c>
      <x:c r="H106" s="213"/>
      <x:c r="I106" s="156" t="str">
        <x:f>IF(H106="","",VLOOKUP($H106,구분표!$O$3:$P$168,2,FALSE))</x:f>
        <x:v/>
      </x:c>
      <x:c r="J106" s="215"/>
      <x:c r="K106" s="459" t="str">
        <x:f t="shared" si="155"/>
        <x:v/>
      </x:c>
      <x:c r="L106" s="459" t="str">
        <x:f t="shared" si="156"/>
        <x:v/>
      </x:c>
      <x:c r="M106" s="461" t="str">
        <x:f t="shared" si="135"/>
        <x:v/>
      </x:c>
      <x:c r="N106" s="460"/>
      <x:c r="O106" s="461">
        <x:f t="shared" si="136"/>
        <x:v>0</x:v>
      </x:c>
      <x:c r="P106" s="462"/>
      <x:c r="Q106" s="463">
        <x:f t="shared" si="137"/>
        <x:v>0</x:v>
      </x:c>
      <x:c r="R106" s="162" t="str">
        <x:f t="shared" si="138"/>
        <x:v>X</x:v>
      </x:c>
      <x:c r="S106" s="216"/>
      <x:c r="T106" s="327"/>
      <x:c r="U106" s="217"/>
      <x:c r="V106" s="203"/>
      <x:c r="W106" s="217"/>
      <x:c r="X106" s="217"/>
      <x:c r="Y106" s="162" t="str">
        <x:f t="shared" si="139"/>
        <x:v/>
      </x:c>
      <x:c r="Z106" s="45"/>
      <x:c r="AA106" s="471" t="str">
        <x:f t="shared" si="140"/>
        <x:v/>
      </x:c>
      <x:c r="AB106" s="471" t="str">
        <x:f t="shared" si="141"/>
        <x:v/>
      </x:c>
      <x:c r="AC106" s="471" t="str">
        <x:f t="shared" si="142"/>
        <x:v/>
      </x:c>
      <x:c r="AD106" s="471" t="str">
        <x:f t="shared" si="143"/>
        <x:v/>
      </x:c>
      <x:c r="AE106" s="46"/>
      <x:c r="AF106" s="471" t="str">
        <x:f t="shared" si="144"/>
        <x:v/>
      </x:c>
      <x:c r="AG106" s="471" t="str">
        <x:f t="shared" si="145"/>
        <x:v/>
      </x:c>
      <x:c r="AH106" s="471" t="str">
        <x:f t="shared" si="146"/>
        <x:v/>
      </x:c>
      <x:c r="AI106" s="471" t="str">
        <x:f t="shared" si="147"/>
        <x:v/>
      </x:c>
      <x:c r="AJ106" s="87"/>
      <x:c r="AK106" s="374" t="str">
        <x:f>IF($AQ106="","",IF(OR($AL106="",$AL106="도비"),"",CONCATENATE($AQ106,"-",COUNTIF($AQ$8:$AQ106,$AQ106))))</x:f>
        <x:v/>
      </x:c>
      <x:c r="AL106" s="374" t="str">
        <x:f t="shared" si="148"/>
        <x:v/>
      </x:c>
      <x:c r="AM106" s="87"/>
      <x:c r="AN106" s="375" t="str">
        <x:f>IF($AQ106="","",IF(OR($AO106="",$AO106="국비",$AO106="자체"),"",CONCATENATE($AQ106,"-",$AO106,"-",COUNTIF($AQ$8:$AQ106,$AQ106))))</x:f>
        <x:v/>
      </x:c>
      <x:c r="AO106" s="375" t="str">
        <x:f t="shared" si="149"/>
        <x:v/>
      </x:c>
      <x:c r="AP106" s="87"/>
      <x:c r="AQ106" s="374" t="str">
        <x:f t="array" ref="AQ106:AQ106">IF(OR($D106="",$C106="직접입력",$B106="직접입력"),"",INDEX(구분표!$I$2:$I$337,MATCH(1,(구분표!$G$2:$G$337='3. 일입'!$B106)*(구분표!$E$2:$E$337='3. 일입'!$C106)*(구분표!$F$2:$F$337='3. 일입'!$D106),0)))</x:f>
        <x:v/>
      </x:c>
      <x:c r="AR106" s="87"/>
      <x:c r="AS106" s="472" t="str">
        <x:f>IF($AK106="","",SUMIFS('3. 일출(의존)'!$AB$7:$AB$1989,'3. 일출(의존)'!$AN$7:$AN$1989,$AK106))</x:f>
        <x:v/>
      </x:c>
      <x:c r="AT106" s="377" t="str">
        <x:f>IF($AK106="","",COUNTIF('3. 일출(의존)'!$AN$7:$AN$1989,$AK106))</x:f>
        <x:v/>
      </x:c>
      <x:c r="AU106" s="374" t="str">
        <x:f t="shared" si="150"/>
        <x:v/>
      </x:c>
      <x:c r="AV106" s="472" t="str">
        <x:f>IF($AN106="","",IF($AO106="지역개발기금",SUMIFS('3. 일출(의존)'!$AE$8:$AE$2000,'3. 일출(의존)'!$AS$8:$AS$2000,$AN106)+SUMIFS('3. 일출(자체)'!$AE$8:$AE$2000,'3. 일출(자체)'!$AM$8:$AM$2000,$AN106),IF($AO106="지방채",SUMIFS('3. 일출(의존)'!$AD$8:$AD$2000,'3. 일출(의존)'!$AS$8:$AS$2000,$AN106)+SUMIFS('3. 일출(자체)'!$AD$8:$AD$2000,'3. 일출(자체)'!$AM$8:$AM$2000,$AN106),0)))</x:f>
        <x:v/>
      </x:c>
      <x:c r="AW106" s="377" t="str">
        <x:f>IF($AN106="","",COUNTIF('3. 일출(의존)'!$AS$8:$AS$2000,$AN106)+COUNTIF('3. 일출(자체)'!$AM$8:$AM$2000,$AN106))</x:f>
        <x:v/>
      </x:c>
      <x:c r="AX106" s="374" t="str">
        <x:f t="shared" si="151"/>
        <x:v/>
      </x:c>
      <x:c r="AY106" s="91"/>
      <x:c r="AZ106" s="472" t="str">
        <x:f>IF($AK106="","",SUMIFS('3. 일출(의존)'!$AH$8:$AH$1989,'3. 일출(의존)'!$AN$8:$AN$1989,$AK106))</x:f>
        <x:v/>
      </x:c>
      <x:c r="BA106" s="377" t="str">
        <x:f>IF($AK106="","",COUNTIF('3. 일출(의존)'!$AN$7:$AN$1989,$AK106))</x:f>
        <x:v/>
      </x:c>
      <x:c r="BB106" s="374" t="str">
        <x:f t="shared" si="152"/>
        <x:v/>
      </x:c>
      <x:c r="BC106" s="472" t="str">
        <x:f>IF($AN106="","",IF($AO106="지역개발기금",SUMIFS('3. 일출(의존)'!$AK$8:$AK$2000,'3. 일출(의존)'!$AS$8:$AS$2000,$AN106)+SUMIFS('3. 일출(자체)'!$AJ$8:$AJ$2000,'3. 일출(자체)'!$AM$8:$AM$2000,$AN106),IF($AO106="지방채",SUMIFS('3. 일출(의존)'!$AJ$8:$AJ$2000,'3. 일출(의존)'!$AS$8:$AS$2000,$AN106)+SUMIFS('3. 일출(자체)'!$AI$8:$AI$2000,'3. 일출(자체)'!$AM$8:$AM$2000,$AN106),0)))</x:f>
        <x:v/>
      </x:c>
      <x:c r="BD106" s="377" t="str">
        <x:f>IF($AN106="","",COUNTIF('3. 일출(의존)'!$AS$8:$AS$2000,$AN106)+COUNTIF('3. 일출(자체)'!$AM$8:$AM$2000,$AN106))</x:f>
        <x:v/>
      </x:c>
      <x:c r="BE106" s="374" t="str">
        <x:f t="shared" si="153"/>
        <x:v/>
      </x:c>
    </x:row>
    <x:row r="107" spans="1:57" s="20" customFormat="1" ht="80.099999999999994" customHeight="1">
      <x:c r="A107" s="155" t="str">
        <x:f>IF(D107="","",COUNTA($C$8:C107)-COUNTBLANK($C$8:C107)+6)</x:f>
        <x:v/>
      </x:c>
      <x:c r="B107" s="156" t="str">
        <x: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x:f>
        <x:v/>
      </x:c>
      <x:c r="C107" s="156" t="str">
        <x:f>IF(D107="","",IF(OR(D107="교육지원과",D107="총무과",D107="인사과"),"직접입력",VLOOKUP(D107,구분표!$A$3:$C$258,3,)))</x:f>
        <x:v/>
      </x:c>
      <x:c r="D107" s="219"/>
      <x:c r="E107" s="213"/>
      <x:c r="F107" s="388" t="str">
        <x:f t="shared" si="154"/>
        <x:v/>
      </x:c>
      <x:c r="G107" s="388" t="str">
        <x:f t="shared" si="154"/>
        <x:v/>
      </x:c>
      <x:c r="H107" s="213"/>
      <x:c r="I107" s="156" t="str">
        <x:f>IF(H107="","",VLOOKUP($H107,구분표!$O$3:$P$168,2,FALSE))</x:f>
        <x:v/>
      </x:c>
      <x:c r="J107" s="215"/>
      <x:c r="K107" s="459" t="str">
        <x:f t="shared" si="155"/>
        <x:v/>
      </x:c>
      <x:c r="L107" s="459" t="str">
        <x:f t="shared" si="156"/>
        <x:v/>
      </x:c>
      <x:c r="M107" s="461" t="str">
        <x:f t="shared" si="135"/>
        <x:v/>
      </x:c>
      <x:c r="N107" s="460"/>
      <x:c r="O107" s="461">
        <x:f t="shared" si="136"/>
        <x:v>0</x:v>
      </x:c>
      <x:c r="P107" s="462"/>
      <x:c r="Q107" s="463">
        <x:f t="shared" si="137"/>
        <x:v>0</x:v>
      </x:c>
      <x:c r="R107" s="162" t="str">
        <x:f t="shared" si="138"/>
        <x:v>X</x:v>
      </x:c>
      <x:c r="S107" s="216"/>
      <x:c r="T107" s="327"/>
      <x:c r="U107" s="217"/>
      <x:c r="V107" s="203"/>
      <x:c r="W107" s="217"/>
      <x:c r="X107" s="217"/>
      <x:c r="Y107" s="162" t="str">
        <x:f t="shared" si="139"/>
        <x:v/>
      </x:c>
      <x:c r="Z107" s="45"/>
      <x:c r="AA107" s="471" t="str">
        <x:f t="shared" si="140"/>
        <x:v/>
      </x:c>
      <x:c r="AB107" s="471" t="str">
        <x:f t="shared" si="141"/>
        <x:v/>
      </x:c>
      <x:c r="AC107" s="471" t="str">
        <x:f t="shared" si="142"/>
        <x:v/>
      </x:c>
      <x:c r="AD107" s="471" t="str">
        <x:f t="shared" si="143"/>
        <x:v/>
      </x:c>
      <x:c r="AE107" s="46"/>
      <x:c r="AF107" s="471" t="str">
        <x:f t="shared" si="144"/>
        <x:v/>
      </x:c>
      <x:c r="AG107" s="471" t="str">
        <x:f t="shared" si="145"/>
        <x:v/>
      </x:c>
      <x:c r="AH107" s="471" t="str">
        <x:f t="shared" si="146"/>
        <x:v/>
      </x:c>
      <x:c r="AI107" s="471" t="str">
        <x:f t="shared" si="147"/>
        <x:v/>
      </x:c>
      <x:c r="AJ107" s="87"/>
      <x:c r="AK107" s="374" t="str">
        <x:f>IF($AQ107="","",IF(OR($AL107="",$AL107="도비"),"",CONCATENATE($AQ107,"-",COUNTIF($AQ$8:$AQ107,$AQ107))))</x:f>
        <x:v/>
      </x:c>
      <x:c r="AL107" s="374" t="str">
        <x:f t="shared" si="148"/>
        <x:v/>
      </x:c>
      <x:c r="AM107" s="87"/>
      <x:c r="AN107" s="375" t="str">
        <x:f>IF($AQ107="","",IF(OR($AO107="",$AO107="국비",$AO107="자체"),"",CONCATENATE($AQ107,"-",$AO107,"-",COUNTIF($AQ$8:$AQ107,$AQ107))))</x:f>
        <x:v/>
      </x:c>
      <x:c r="AO107" s="375" t="str">
        <x:f t="shared" si="149"/>
        <x:v/>
      </x:c>
      <x:c r="AP107" s="87"/>
      <x:c r="AQ107" s="374" t="str">
        <x:f t="array" ref="AQ107:AQ107">IF(OR($D107="",$C107="직접입력",$B107="직접입력"),"",INDEX(구분표!$I$2:$I$337,MATCH(1,(구분표!$G$2:$G$337='3. 일입'!$B107)*(구분표!$E$2:$E$337='3. 일입'!$C107)*(구분표!$F$2:$F$337='3. 일입'!$D107),0)))</x:f>
        <x:v/>
      </x:c>
      <x:c r="AR107" s="87"/>
      <x:c r="AS107" s="472" t="str">
        <x:f>IF($AK107="","",SUMIFS('3. 일출(의존)'!$AB$7:$AB$1989,'3. 일출(의존)'!$AN$7:$AN$1989,$AK107))</x:f>
        <x:v/>
      </x:c>
      <x:c r="AT107" s="377" t="str">
        <x:f>IF($AK107="","",COUNTIF('3. 일출(의존)'!$AN$7:$AN$1989,$AK107))</x:f>
        <x:v/>
      </x:c>
      <x:c r="AU107" s="374" t="str">
        <x:f t="shared" si="150"/>
        <x:v/>
      </x:c>
      <x:c r="AV107" s="472" t="str">
        <x:f>IF($AN107="","",IF($AO107="지역개발기금",SUMIFS('3. 일출(의존)'!$AE$8:$AE$2000,'3. 일출(의존)'!$AS$8:$AS$2000,$AN107)+SUMIFS('3. 일출(자체)'!$AE$8:$AE$2000,'3. 일출(자체)'!$AM$8:$AM$2000,$AN107),IF($AO107="지방채",SUMIFS('3. 일출(의존)'!$AD$8:$AD$2000,'3. 일출(의존)'!$AS$8:$AS$2000,$AN107)+SUMIFS('3. 일출(자체)'!$AD$8:$AD$2000,'3. 일출(자체)'!$AM$8:$AM$2000,$AN107),0)))</x:f>
        <x:v/>
      </x:c>
      <x:c r="AW107" s="377" t="str">
        <x:f>IF($AN107="","",COUNTIF('3. 일출(의존)'!$AS$8:$AS$2000,$AN107)+COUNTIF('3. 일출(자체)'!$AM$8:$AM$2000,$AN107))</x:f>
        <x:v/>
      </x:c>
      <x:c r="AX107" s="374" t="str">
        <x:f t="shared" si="151"/>
        <x:v/>
      </x:c>
      <x:c r="AY107" s="91"/>
      <x:c r="AZ107" s="472" t="str">
        <x:f>IF($AK107="","",SUMIFS('3. 일출(의존)'!$AH$8:$AH$1989,'3. 일출(의존)'!$AN$8:$AN$1989,$AK107))</x:f>
        <x:v/>
      </x:c>
      <x:c r="BA107" s="377" t="str">
        <x:f>IF($AK107="","",COUNTIF('3. 일출(의존)'!$AN$7:$AN$1989,$AK107))</x:f>
        <x:v/>
      </x:c>
      <x:c r="BB107" s="374" t="str">
        <x:f t="shared" si="152"/>
        <x:v/>
      </x:c>
      <x:c r="BC107" s="472" t="str">
        <x:f>IF($AN107="","",IF($AO107="지역개발기금",SUMIFS('3. 일출(의존)'!$AK$8:$AK$2000,'3. 일출(의존)'!$AS$8:$AS$2000,$AN107)+SUMIFS('3. 일출(자체)'!$AJ$8:$AJ$2000,'3. 일출(자체)'!$AM$8:$AM$2000,$AN107),IF($AO107="지방채",SUMIFS('3. 일출(의존)'!$AJ$8:$AJ$2000,'3. 일출(의존)'!$AS$8:$AS$2000,$AN107)+SUMIFS('3. 일출(자체)'!$AI$8:$AI$2000,'3. 일출(자체)'!$AM$8:$AM$2000,$AN107),0)))</x:f>
        <x:v/>
      </x:c>
      <x:c r="BD107" s="377" t="str">
        <x:f>IF($AN107="","",COUNTIF('3. 일출(의존)'!$AS$8:$AS$2000,$AN107)+COUNTIF('3. 일출(자체)'!$AM$8:$AM$2000,$AN107))</x:f>
        <x:v/>
      </x:c>
      <x:c r="BE107" s="374" t="str">
        <x:f t="shared" si="153"/>
        <x:v/>
      </x:c>
    </x:row>
    <x:row r="108" spans="1:57" s="20" customFormat="1" ht="80.099999999999994" customHeight="1">
      <x:c r="A108" s="155" t="str">
        <x:f>IF(D108="","",COUNTA($C$8:C108)-COUNTBLANK($C$8:C108)+6)</x:f>
        <x:v/>
      </x:c>
      <x:c r="B108" s="156" t="str">
        <x: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x:f>
        <x:v/>
      </x:c>
      <x:c r="C108" s="156" t="str">
        <x:f>IF(D108="","",IF(OR(D108="교육지원과",D108="총무과",D108="인사과"),"직접입력",VLOOKUP(D108,구분표!$A$3:$C$258,3,)))</x:f>
        <x:v/>
      </x:c>
      <x:c r="D108" s="219"/>
      <x:c r="E108" s="213"/>
      <x:c r="F108" s="388" t="str">
        <x:f t="shared" si="154"/>
        <x:v/>
      </x:c>
      <x:c r="G108" s="388" t="str">
        <x:f t="shared" si="154"/>
        <x:v/>
      </x:c>
      <x:c r="H108" s="213"/>
      <x:c r="I108" s="156" t="str">
        <x:f>IF(H108="","",VLOOKUP($H108,구분표!$O$3:$P$168,2,FALSE))</x:f>
        <x:v/>
      </x:c>
      <x:c r="J108" s="215"/>
      <x:c r="K108" s="459" t="str">
        <x:f t="shared" si="155"/>
        <x:v/>
      </x:c>
      <x:c r="L108" s="459" t="str">
        <x:f t="shared" si="156"/>
        <x:v/>
      </x:c>
      <x:c r="M108" s="461" t="str">
        <x:f t="shared" si="135"/>
        <x:v/>
      </x:c>
      <x:c r="N108" s="460"/>
      <x:c r="O108" s="461">
        <x:f t="shared" si="136"/>
        <x:v>0</x:v>
      </x:c>
      <x:c r="P108" s="462"/>
      <x:c r="Q108" s="463">
        <x:f t="shared" si="137"/>
        <x:v>0</x:v>
      </x:c>
      <x:c r="R108" s="162" t="str">
        <x:f t="shared" si="138"/>
        <x:v>X</x:v>
      </x:c>
      <x:c r="S108" s="216"/>
      <x:c r="T108" s="327"/>
      <x:c r="U108" s="217"/>
      <x:c r="V108" s="203"/>
      <x:c r="W108" s="217"/>
      <x:c r="X108" s="217"/>
      <x:c r="Y108" s="162" t="str">
        <x:f t="shared" si="139"/>
        <x:v/>
      </x:c>
      <x:c r="Z108" s="45"/>
      <x:c r="AA108" s="471" t="str">
        <x:f t="shared" si="140"/>
        <x:v/>
      </x:c>
      <x:c r="AB108" s="471" t="str">
        <x:f t="shared" si="141"/>
        <x:v/>
      </x:c>
      <x:c r="AC108" s="471" t="str">
        <x:f t="shared" si="142"/>
        <x:v/>
      </x:c>
      <x:c r="AD108" s="471" t="str">
        <x:f t="shared" si="143"/>
        <x:v/>
      </x:c>
      <x:c r="AE108" s="46"/>
      <x:c r="AF108" s="471" t="str">
        <x:f t="shared" si="144"/>
        <x:v/>
      </x:c>
      <x:c r="AG108" s="471" t="str">
        <x:f t="shared" si="145"/>
        <x:v/>
      </x:c>
      <x:c r="AH108" s="471" t="str">
        <x:f t="shared" si="146"/>
        <x:v/>
      </x:c>
      <x:c r="AI108" s="471" t="str">
        <x:f t="shared" si="147"/>
        <x:v/>
      </x:c>
      <x:c r="AJ108" s="87"/>
      <x:c r="AK108" s="374" t="str">
        <x:f>IF($AQ108="","",IF(OR($AL108="",$AL108="도비"),"",CONCATENATE($AQ108,"-",COUNTIF($AQ$8:$AQ108,$AQ108))))</x:f>
        <x:v/>
      </x:c>
      <x:c r="AL108" s="374" t="str">
        <x:f t="shared" si="148"/>
        <x:v/>
      </x:c>
      <x:c r="AM108" s="87"/>
      <x:c r="AN108" s="375" t="str">
        <x:f>IF($AQ108="","",IF(OR($AO108="",$AO108="국비",$AO108="자체"),"",CONCATENATE($AQ108,"-",$AO108,"-",COUNTIF($AQ$8:$AQ108,$AQ108))))</x:f>
        <x:v/>
      </x:c>
      <x:c r="AO108" s="375" t="str">
        <x:f t="shared" si="149"/>
        <x:v/>
      </x:c>
      <x:c r="AP108" s="87"/>
      <x:c r="AQ108" s="374" t="str">
        <x:f t="array" ref="AQ108:AQ108">IF(OR($D108="",$C108="직접입력",$B108="직접입력"),"",INDEX(구분표!$I$2:$I$337,MATCH(1,(구분표!$G$2:$G$337='3. 일입'!$B108)*(구분표!$E$2:$E$337='3. 일입'!$C108)*(구분표!$F$2:$F$337='3. 일입'!$D108),0)))</x:f>
        <x:v/>
      </x:c>
      <x:c r="AR108" s="87"/>
      <x:c r="AS108" s="472" t="str">
        <x:f>IF($AK108="","",SUMIFS('3. 일출(의존)'!$AB$7:$AB$1989,'3. 일출(의존)'!$AN$7:$AN$1989,$AK108))</x:f>
        <x:v/>
      </x:c>
      <x:c r="AT108" s="377" t="str">
        <x:f>IF($AK108="","",COUNTIF('3. 일출(의존)'!$AN$7:$AN$1989,$AK108))</x:f>
        <x:v/>
      </x:c>
      <x:c r="AU108" s="374" t="str">
        <x:f t="shared" si="150"/>
        <x:v/>
      </x:c>
      <x:c r="AV108" s="472" t="str">
        <x:f>IF($AN108="","",IF($AO108="지역개발기금",SUMIFS('3. 일출(의존)'!$AE$8:$AE$2000,'3. 일출(의존)'!$AS$8:$AS$2000,$AN108)+SUMIFS('3. 일출(자체)'!$AE$8:$AE$2000,'3. 일출(자체)'!$AM$8:$AM$2000,$AN108),IF($AO108="지방채",SUMIFS('3. 일출(의존)'!$AD$8:$AD$2000,'3. 일출(의존)'!$AS$8:$AS$2000,$AN108)+SUMIFS('3. 일출(자체)'!$AD$8:$AD$2000,'3. 일출(자체)'!$AM$8:$AM$2000,$AN108),0)))</x:f>
        <x:v/>
      </x:c>
      <x:c r="AW108" s="377" t="str">
        <x:f>IF($AN108="","",COUNTIF('3. 일출(의존)'!$AS$8:$AS$2000,$AN108)+COUNTIF('3. 일출(자체)'!$AM$8:$AM$2000,$AN108))</x:f>
        <x:v/>
      </x:c>
      <x:c r="AX108" s="374" t="str">
        <x:f t="shared" si="151"/>
        <x:v/>
      </x:c>
      <x:c r="AY108" s="91"/>
      <x:c r="AZ108" s="472" t="str">
        <x:f>IF($AK108="","",SUMIFS('3. 일출(의존)'!$AH$8:$AH$1989,'3. 일출(의존)'!$AN$8:$AN$1989,$AK108))</x:f>
        <x:v/>
      </x:c>
      <x:c r="BA108" s="377" t="str">
        <x:f>IF($AK108="","",COUNTIF('3. 일출(의존)'!$AN$7:$AN$1989,$AK108))</x:f>
        <x:v/>
      </x:c>
      <x:c r="BB108" s="374" t="str">
        <x:f t="shared" si="152"/>
        <x:v/>
      </x:c>
      <x:c r="BC108" s="472" t="str">
        <x:f>IF($AN108="","",IF($AO108="지역개발기금",SUMIFS('3. 일출(의존)'!$AK$8:$AK$2000,'3. 일출(의존)'!$AS$8:$AS$2000,$AN108)+SUMIFS('3. 일출(자체)'!$AJ$8:$AJ$2000,'3. 일출(자체)'!$AM$8:$AM$2000,$AN108),IF($AO108="지방채",SUMIFS('3. 일출(의존)'!$AJ$8:$AJ$2000,'3. 일출(의존)'!$AS$8:$AS$2000,$AN108)+SUMIFS('3. 일출(자체)'!$AI$8:$AI$2000,'3. 일출(자체)'!$AM$8:$AM$2000,$AN108),0)))</x:f>
        <x:v/>
      </x:c>
      <x:c r="BD108" s="377" t="str">
        <x:f>IF($AN108="","",COUNTIF('3. 일출(의존)'!$AS$8:$AS$2000,$AN108)+COUNTIF('3. 일출(자체)'!$AM$8:$AM$2000,$AN108))</x:f>
        <x:v/>
      </x:c>
      <x:c r="BE108" s="374" t="str">
        <x:f t="shared" si="153"/>
        <x:v/>
      </x:c>
    </x:row>
    <x:row r="109" spans="1:57" s="20" customFormat="1" ht="80.099999999999994" customHeight="1">
      <x:c r="A109" s="155" t="str">
        <x:f>IF(D109="","",COUNTA($C$8:C109)-COUNTBLANK($C$8:C109)+6)</x:f>
        <x:v/>
      </x:c>
      <x:c r="B109" s="156" t="str">
        <x: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x:f>
        <x:v/>
      </x:c>
      <x:c r="C109" s="156" t="str">
        <x:f>IF(D109="","",IF(OR(D109="교육지원과",D109="총무과",D109="인사과"),"직접입력",VLOOKUP(D109,구분표!$A$3:$C$258,3,)))</x:f>
        <x:v/>
      </x:c>
      <x:c r="D109" s="219"/>
      <x:c r="E109" s="213"/>
      <x:c r="F109" s="388" t="str">
        <x:f t="shared" si="154"/>
        <x:v/>
      </x:c>
      <x:c r="G109" s="388" t="str">
        <x:f t="shared" si="154"/>
        <x:v/>
      </x:c>
      <x:c r="H109" s="213"/>
      <x:c r="I109" s="156" t="str">
        <x:f>IF(H109="","",VLOOKUP($H109,구분표!$O$3:$P$168,2,FALSE))</x:f>
        <x:v/>
      </x:c>
      <x:c r="J109" s="215"/>
      <x:c r="K109" s="459" t="str">
        <x:f t="shared" si="155"/>
        <x:v/>
      </x:c>
      <x:c r="L109" s="459" t="str">
        <x:f t="shared" si="156"/>
        <x:v/>
      </x:c>
      <x:c r="M109" s="461" t="str">
        <x:f t="shared" si="135"/>
        <x:v/>
      </x:c>
      <x:c r="N109" s="460"/>
      <x:c r="O109" s="461">
        <x:f t="shared" si="136"/>
        <x:v>0</x:v>
      </x:c>
      <x:c r="P109" s="462"/>
      <x:c r="Q109" s="463">
        <x:f t="shared" si="137"/>
        <x:v>0</x:v>
      </x:c>
      <x:c r="R109" s="162" t="str">
        <x:f t="shared" si="138"/>
        <x:v>X</x:v>
      </x:c>
      <x:c r="S109" s="216"/>
      <x:c r="T109" s="327"/>
      <x:c r="U109" s="217"/>
      <x:c r="V109" s="203"/>
      <x:c r="W109" s="217"/>
      <x:c r="X109" s="217"/>
      <x:c r="Y109" s="162" t="str">
        <x:f t="shared" si="139"/>
        <x:v/>
      </x:c>
      <x:c r="Z109" s="45"/>
      <x:c r="AA109" s="471" t="str">
        <x:f t="shared" si="140"/>
        <x:v/>
      </x:c>
      <x:c r="AB109" s="471" t="str">
        <x:f t="shared" si="141"/>
        <x:v/>
      </x:c>
      <x:c r="AC109" s="471" t="str">
        <x:f t="shared" si="142"/>
        <x:v/>
      </x:c>
      <x:c r="AD109" s="471" t="str">
        <x:f t="shared" si="143"/>
        <x:v/>
      </x:c>
      <x:c r="AE109" s="46"/>
      <x:c r="AF109" s="471" t="str">
        <x:f t="shared" si="144"/>
        <x:v/>
      </x:c>
      <x:c r="AG109" s="471" t="str">
        <x:f t="shared" si="145"/>
        <x:v/>
      </x:c>
      <x:c r="AH109" s="471" t="str">
        <x:f t="shared" si="146"/>
        <x:v/>
      </x:c>
      <x:c r="AI109" s="471" t="str">
        <x:f t="shared" si="147"/>
        <x:v/>
      </x:c>
      <x:c r="AJ109" s="87"/>
      <x:c r="AK109" s="374" t="str">
        <x:f>IF($AQ109="","",IF(OR($AL109="",$AL109="도비"),"",CONCATENATE($AQ109,"-",COUNTIF($AQ$8:$AQ109,$AQ109))))</x:f>
        <x:v/>
      </x:c>
      <x:c r="AL109" s="374" t="str">
        <x:f t="shared" si="148"/>
        <x:v/>
      </x:c>
      <x:c r="AM109" s="87"/>
      <x:c r="AN109" s="375" t="str">
        <x:f>IF($AQ109="","",IF(OR($AO109="",$AO109="국비",$AO109="자체"),"",CONCATENATE($AQ109,"-",$AO109,"-",COUNTIF($AQ$8:$AQ109,$AQ109))))</x:f>
        <x:v/>
      </x:c>
      <x:c r="AO109" s="375" t="str">
        <x:f t="shared" si="149"/>
        <x:v/>
      </x:c>
      <x:c r="AP109" s="87"/>
      <x:c r="AQ109" s="374" t="str">
        <x:f t="array" ref="AQ109:AQ109">IF(OR($D109="",$C109="직접입력",$B109="직접입력"),"",INDEX(구분표!$I$2:$I$337,MATCH(1,(구분표!$G$2:$G$337='3. 일입'!$B109)*(구분표!$E$2:$E$337='3. 일입'!$C109)*(구분표!$F$2:$F$337='3. 일입'!$D109),0)))</x:f>
        <x:v/>
      </x:c>
      <x:c r="AR109" s="87"/>
      <x:c r="AS109" s="472" t="str">
        <x:f>IF($AK109="","",SUMIFS('3. 일출(의존)'!$AB$7:$AB$1989,'3. 일출(의존)'!$AN$7:$AN$1989,$AK109))</x:f>
        <x:v/>
      </x:c>
      <x:c r="AT109" s="377" t="str">
        <x:f>IF($AK109="","",COUNTIF('3. 일출(의존)'!$AN$7:$AN$1989,$AK109))</x:f>
        <x:v/>
      </x:c>
      <x:c r="AU109" s="374" t="str">
        <x:f t="shared" si="150"/>
        <x:v/>
      </x:c>
      <x:c r="AV109" s="472" t="str">
        <x:f>IF($AN109="","",IF($AO109="지역개발기금",SUMIFS('3. 일출(의존)'!$AE$8:$AE$2000,'3. 일출(의존)'!$AS$8:$AS$2000,$AN109)+SUMIFS('3. 일출(자체)'!$AE$8:$AE$2000,'3. 일출(자체)'!$AM$8:$AM$2000,$AN109),IF($AO109="지방채",SUMIFS('3. 일출(의존)'!$AD$8:$AD$2000,'3. 일출(의존)'!$AS$8:$AS$2000,$AN109)+SUMIFS('3. 일출(자체)'!$AD$8:$AD$2000,'3. 일출(자체)'!$AM$8:$AM$2000,$AN109),0)))</x:f>
        <x:v/>
      </x:c>
      <x:c r="AW109" s="377" t="str">
        <x:f>IF($AN109="","",COUNTIF('3. 일출(의존)'!$AS$8:$AS$2000,$AN109)+COUNTIF('3. 일출(자체)'!$AM$8:$AM$2000,$AN109))</x:f>
        <x:v/>
      </x:c>
      <x:c r="AX109" s="374" t="str">
        <x:f t="shared" si="151"/>
        <x:v/>
      </x:c>
      <x:c r="AY109" s="91"/>
      <x:c r="AZ109" s="472" t="str">
        <x:f>IF($AK109="","",SUMIFS('3. 일출(의존)'!$AH$8:$AH$1989,'3. 일출(의존)'!$AN$8:$AN$1989,$AK109))</x:f>
        <x:v/>
      </x:c>
      <x:c r="BA109" s="377" t="str">
        <x:f>IF($AK109="","",COUNTIF('3. 일출(의존)'!$AN$7:$AN$1989,$AK109))</x:f>
        <x:v/>
      </x:c>
      <x:c r="BB109" s="374" t="str">
        <x:f t="shared" si="152"/>
        <x:v/>
      </x:c>
      <x:c r="BC109" s="472" t="str">
        <x:f>IF($AN109="","",IF($AO109="지역개발기금",SUMIFS('3. 일출(의존)'!$AK$8:$AK$2000,'3. 일출(의존)'!$AS$8:$AS$2000,$AN109)+SUMIFS('3. 일출(자체)'!$AJ$8:$AJ$2000,'3. 일출(자체)'!$AM$8:$AM$2000,$AN109),IF($AO109="지방채",SUMIFS('3. 일출(의존)'!$AJ$8:$AJ$2000,'3. 일출(의존)'!$AS$8:$AS$2000,$AN109)+SUMIFS('3. 일출(자체)'!$AI$8:$AI$2000,'3. 일출(자체)'!$AM$8:$AM$2000,$AN109),0)))</x:f>
        <x:v/>
      </x:c>
      <x:c r="BD109" s="377" t="str">
        <x:f>IF($AN109="","",COUNTIF('3. 일출(의존)'!$AS$8:$AS$2000,$AN109)+COUNTIF('3. 일출(자체)'!$AM$8:$AM$2000,$AN109))</x:f>
        <x:v/>
      </x:c>
      <x:c r="BE109" s="374" t="str">
        <x:f t="shared" si="153"/>
        <x:v/>
      </x:c>
    </x:row>
    <x:row r="110" spans="1:57" s="56" customFormat="1" ht="60" customHeight="1">
      <x:c r="A110" s="210"/>
      <x:c r="B110" s="888" t="s">
        <x:v>1520</x:v>
      </x:c>
      <x:c r="C110" s="888"/>
      <x:c r="D110" s="888"/>
      <x:c r="E110" s="888"/>
      <x:c r="F110" s="888"/>
      <x:c r="G110" s="888"/>
      <x:c r="H110" s="211"/>
      <x:c r="I110" s="159"/>
      <x:c r="J110" s="409" t="str">
        <x:f>SUBTOTAL(3,J111:J126)&amp;"건"</x:f>
        <x:v>0건</x:v>
      </x:c>
      <x:c r="K110" s="458">
        <x:f t="shared" ref="K110:L110" si="157">SUBTOTAL(9,K111:K126)</x:f>
        <x:v>0</x:v>
      </x:c>
      <x:c r="L110" s="458">
        <x:f t="shared" si="157"/>
        <x:v>0</x:v>
      </x:c>
      <x:c r="M110" s="458">
        <x:f t="shared" ref="M110:Q110" si="158">SUBTOTAL(9,M111:M126)</x:f>
        <x:v>0</x:v>
      </x:c>
      <x:c r="N110" s="458">
        <x:f t="shared" si="158"/>
        <x:v>0</x:v>
      </x:c>
      <x:c r="O110" s="458">
        <x:f t="shared" si="158"/>
        <x:v>0</x:v>
      </x:c>
      <x:c r="P110" s="458">
        <x:f t="shared" si="158"/>
        <x:v>0</x:v>
      </x:c>
      <x:c r="Q110" s="458">
        <x:f t="shared" si="158"/>
        <x:v>0</x:v>
      </x:c>
      <x:c r="R110" s="78"/>
      <x:c r="S110" s="78"/>
      <x:c r="T110" s="78"/>
      <x:c r="U110" s="78"/>
      <x:c r="V110" s="158"/>
      <x:c r="W110" s="158"/>
      <x:c r="X110" s="158"/>
      <x:c r="Y110" s="160"/>
      <x:c r="Z110" s="161"/>
      <x:c r="AA110" s="470">
        <x:f>SUBTOTAL(9,AA111:AA126)</x:f>
        <x:v>0</x:v>
      </x:c>
      <x:c r="AB110" s="470">
        <x:f t="shared" ref="AB110:AD110" si="159">SUBTOTAL(9,AB111:AB126)</x:f>
        <x:v>0</x:v>
      </x:c>
      <x:c r="AC110" s="470">
        <x:f t="shared" si="159"/>
        <x:v>0</x:v>
      </x:c>
      <x:c r="AD110" s="470">
        <x:f t="shared" si="159"/>
        <x:v>0</x:v>
      </x:c>
      <x:c r="AE110" s="166"/>
      <x:c r="AF110" s="470">
        <x:f>SUBTOTAL(9,AF111:AF126)</x:f>
        <x:v>0</x:v>
      </x:c>
      <x:c r="AG110" s="470">
        <x:f t="shared" ref="AG110:AI110" si="160">SUBTOTAL(9,AG111:AG126)</x:f>
        <x:v>0</x:v>
      </x:c>
      <x:c r="AH110" s="470">
        <x:f t="shared" si="160"/>
        <x:v>0</x:v>
      </x:c>
      <x:c r="AI110" s="470">
        <x:f t="shared" si="160"/>
        <x:v>0</x:v>
      </x:c>
      <x:c r="AJ110" s="53"/>
      <x:c r="AK110" s="80"/>
      <x:c r="AL110" s="80"/>
      <x:c r="AM110" s="53"/>
      <x:c r="AN110" s="80"/>
      <x:c r="AO110" s="80"/>
      <x:c r="AP110" s="53"/>
      <x:c r="AQ110" s="80"/>
      <x:c r="AR110" s="53"/>
      <x:c r="AS110" s="470">
        <x:f>SUBTOTAL(9,AS111:AS126)</x:f>
        <x:v>0</x:v>
      </x:c>
      <x:c r="AT110" s="470">
        <x:f>SUBTOTAL(9,AT111:AT126)</x:f>
        <x:v>0</x:v>
      </x:c>
      <x:c r="AU110" s="554" t="str">
        <x:f>IF(COUNTIF(AU111:AU126,"@@")&gt;0,"@@","OK")</x:f>
        <x:v>OK</x:v>
      </x:c>
      <x:c r="AV110" s="470">
        <x:f>SUBTOTAL(9,AV111:AV126)</x:f>
        <x:v>0</x:v>
      </x:c>
      <x:c r="AW110" s="470">
        <x:f>SUBTOTAL(9,AW111:AW126)</x:f>
        <x:v>0</x:v>
      </x:c>
      <x:c r="AX110" s="554" t="str">
        <x:f>IF(COUNTIF(AX111:AX126,"@@")&gt;0,"@@","OK")</x:f>
        <x:v>OK</x:v>
      </x:c>
      <x:c r="AY110" s="53"/>
      <x:c r="AZ110" s="470">
        <x:f>SUBTOTAL(9,AZ111:AZ126)</x:f>
        <x:v>0</x:v>
      </x:c>
      <x:c r="BA110" s="470">
        <x:f>SUBTOTAL(9,BA111:BA126)</x:f>
        <x:v>0</x:v>
      </x:c>
      <x:c r="BB110" s="554" t="str">
        <x:f>IF(COUNTIF(BB111:BB126,"@@")&gt;0,"@@","OK")</x:f>
        <x:v>OK</x:v>
      </x:c>
      <x:c r="BC110" s="470">
        <x:f>SUBTOTAL(9,BC111:BC126)</x:f>
        <x:v>0</x:v>
      </x:c>
      <x:c r="BD110" s="470">
        <x:f>SUBTOTAL(9,BD111:BD126)</x:f>
        <x:v>0</x:v>
      </x:c>
      <x:c r="BE110" s="554" t="str">
        <x:f>IF(COUNTIF(BE111:BE126,"@@")&gt;0,"@@","OK")</x:f>
        <x:v>OK</x:v>
      </x:c>
    </x:row>
    <x:row r="111" spans="1:57" s="20" customFormat="1" ht="80.099999999999994" customHeight="1">
      <x:c r="A111" s="155" t="str">
        <x:f>IF(D111="","",COUNTA($C$8:C111)-COUNTBLANK($C$8:C111)+7)</x:f>
        <x:v/>
      </x:c>
      <x:c r="B111" s="156" t="str">
        <x: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x:f>
        <x:v/>
      </x:c>
      <x:c r="C111" s="156" t="str">
        <x:f>IF(D111="","",IF(OR(D111="교육지원과",D111="총무과",D111="인사과"),"직접입력",VLOOKUP(D111,구분표!$A$3:$C$258,3,)))</x:f>
        <x:v/>
      </x:c>
      <x:c r="D111" s="219"/>
      <x:c r="E111" s="213"/>
      <x:c r="F111" s="388" t="str">
        <x:f>IF($E111="","",IF($E111="2추","직접입력","-"))</x:f>
        <x:v/>
      </x:c>
      <x:c r="G111" s="388" t="str">
        <x:f>IF($E111="","",IF($E111="2추","직접입력","-"))</x:f>
        <x:v/>
      </x:c>
      <x:c r="H111" s="213"/>
      <x:c r="I111" s="156" t="str">
        <x:f>IF(H111="","",VLOOKUP($H111,구분표!$O$3:$P$168,2,FALSE))</x:f>
        <x:v/>
      </x:c>
      <x:c r="J111" s="215"/>
      <x:c r="K111" s="459" t="str">
        <x:f>IF($E111="","",IF(OR($E111="2추",$E111="1추",$E111="본예산"),"금액입력","-"))</x:f>
        <x:v/>
      </x:c>
      <x:c r="L111" s="459" t="str">
        <x:f>IF($E111="","",IF($E111="2추","금액입력","-"))</x:f>
        <x:v/>
      </x:c>
      <x:c r="M111" s="461" t="str">
        <x:f t="shared" ref="M111:M126" si="161">IF($E111="","",SUM(K111:L111))</x:f>
        <x:v/>
      </x:c>
      <x:c r="N111" s="460"/>
      <x:c r="O111" s="461">
        <x:f t="shared" ref="O111:O126" si="162">SUM(M111:N111)</x:f>
        <x:v>0</x:v>
      </x:c>
      <x:c r="P111" s="462"/>
      <x:c r="Q111" s="463">
        <x:f t="shared" ref="Q111:Q126" si="163">SUM(M111,P111)</x:f>
        <x:v>0</x:v>
      </x:c>
      <x:c r="R111" s="162" t="str">
        <x:f t="shared" ref="R111:R126" si="164">IF(AND((O111=0),(Q111&gt;0)),"O",IF(AND((N111&lt;0),(O111-Q111&lt;0)),"O","X"))</x:f>
        <x:v>X</x:v>
      </x:c>
      <x:c r="S111" s="216"/>
      <x:c r="T111" s="327"/>
      <x:c r="U111" s="217"/>
      <x:c r="V111" s="203"/>
      <x:c r="W111" s="217"/>
      <x:c r="X111" s="217"/>
      <x:c r="Y111" s="162" t="str">
        <x:f t="shared" ref="Y111:Y126" si="165">IF($H111="","",IF(OR($H111="511-01",$H111="511-02",$H111="511-03",$H111="311-02",$H111="311-04",$H111="321-01"),"국비","도비"))</x:f>
        <x:v/>
      </x:c>
      <x:c r="Z111" s="45"/>
      <x:c r="AA111" s="471" t="str">
        <x:f t="shared" ref="AA111:AA126" si="166">IF($Y111="국비",IF($N111&lt;&gt;"",$N111,0),"")</x:f>
        <x:v/>
      </x:c>
      <x:c r="AB111" s="471" t="str">
        <x:f t="shared" ref="AB111:AB126" si="167">IF($Y111="도비",IF($AO111="자체",IF($N111&lt;&gt;"",$N111,0),""),"")</x:f>
        <x:v/>
      </x:c>
      <x:c r="AC111" s="471" t="str">
        <x:f t="shared" ref="AC111:AC126" si="168">IF($Y111="도비",IF($AO111="지방채",IF($N111&lt;&gt;"",$N111,0),""),"")</x:f>
        <x:v/>
      </x:c>
      <x:c r="AD111" s="471" t="str">
        <x:f t="shared" ref="AD111:AD126" si="169">IF($Y111="도비",IF($AO111="지역개발기금",IF($N111&lt;&gt;"",$N111,0),""),"")</x:f>
        <x:v/>
      </x:c>
      <x:c r="AE111" s="46"/>
      <x:c r="AF111" s="471" t="str">
        <x:f t="shared" ref="AF111:AF126" si="170">IF($Y111="국비",IF($P111&lt;&gt;"",$P111,0),"")</x:f>
        <x:v/>
      </x:c>
      <x:c r="AG111" s="471" t="str">
        <x:f t="shared" ref="AG111:AG126" si="171">IF($Y111="도비",IF($AO111="자체",IF($P111&lt;&gt;"",$P111,0),""),"")</x:f>
        <x:v/>
      </x:c>
      <x:c r="AH111" s="471" t="str">
        <x:f t="shared" ref="AH111:AH126" si="172">IF($Y111="도비",IF($AO111="지방채",IF($P111&lt;&gt;"",$P111,0),""),"")</x:f>
        <x:v/>
      </x:c>
      <x:c r="AI111" s="471" t="str">
        <x:f t="shared" ref="AI111:AI126" si="173">IF($Y111="도비",IF($AO111="지역개발기금",IF($P111&lt;&gt;"",$P111,0),""),"")</x:f>
        <x:v/>
      </x:c>
      <x:c r="AJ111" s="87"/>
      <x:c r="AK111" s="374" t="str">
        <x:f>IF($AQ111="","",IF(OR($AL111="",$AL111="도비"),"",CONCATENATE($AQ111,"-",COUNTIF($AQ$8:$AQ111,$AQ111))))</x:f>
        <x:v/>
      </x:c>
      <x:c r="AL111" s="374" t="str">
        <x:f t="shared" ref="AL111:AL126" si="174">IF($H111="","",IF($H111="511-01","국비",IF($H111="511-02","균특",IF($H111="511-03","기금",IF($H111="311-02","특교",IF($H111="311-04","소교",IF($H111="321-01","소멸","도비")))))))</x:f>
        <x:v/>
      </x:c>
      <x:c r="AM111" s="87"/>
      <x:c r="AN111" s="375" t="str">
        <x:f>IF($AQ111="","",IF(OR($AO111="",$AO111="국비",$AO111="자체"),"",CONCATENATE($AQ111,"-",$AO111,"-",COUNTIF($AQ$8:$AQ111,$AQ111))))</x:f>
        <x:v/>
      </x:c>
      <x:c r="AO111" s="375" t="str">
        <x:f t="shared" ref="AO111:AO126" si="175">IF($Y111="","",IF($Y111="국비","국비",IF($H111="612-01","지방채",IF($H111="722-02","지역개발기금","자체"))))</x:f>
        <x:v/>
      </x:c>
      <x:c r="AP111" s="87"/>
      <x:c r="AQ111" s="374" t="str">
        <x:f t="array" ref="AQ111:AQ111">IF(OR($D111="",$C111="직접입력",$B111="직접입력"),"",INDEX(구분표!$I$2:$I$337,MATCH(1,(구분표!$G$2:$G$337='3. 일입'!$B111)*(구분표!$E$2:$E$337='3. 일입'!$C111)*(구분표!$F$2:$F$337='3. 일입'!$D111),0)))</x:f>
        <x:v/>
      </x:c>
      <x:c r="AR111" s="87"/>
      <x:c r="AS111" s="472" t="str">
        <x:f>IF($AK111="","",SUMIFS('3. 일출(의존)'!$AB$7:$AB$1989,'3. 일출(의존)'!$AN$7:$AN$1989,$AK111))</x:f>
        <x:v/>
      </x:c>
      <x:c r="AT111" s="377" t="str">
        <x:f>IF($AK111="","",COUNTIF('3. 일출(의존)'!$AN$7:$AN$1989,$AK111))</x:f>
        <x:v/>
      </x:c>
      <x:c r="AU111" s="374" t="str">
        <x:f t="shared" ref="AU111:AU126" si="176">IF($AK111="","",IF($AA111=$AS111,"OK","@@"))</x:f>
        <x:v/>
      </x:c>
      <x:c r="AV111" s="472" t="str">
        <x:f>IF($AN111="","",IF($AO111="지역개발기금",SUMIFS('3. 일출(의존)'!$AE$8:$AE$2000,'3. 일출(의존)'!$AS$8:$AS$2000,$AN111)+SUMIFS('3. 일출(자체)'!$AE$8:$AE$2000,'3. 일출(자체)'!$AM$8:$AM$2000,$AN111),IF($AO111="지방채",SUMIFS('3. 일출(의존)'!$AD$8:$AD$2000,'3. 일출(의존)'!$AS$8:$AS$2000,$AN111)+SUMIFS('3. 일출(자체)'!$AD$8:$AD$2000,'3. 일출(자체)'!$AM$8:$AM$2000,$AN111),0)))</x:f>
        <x:v/>
      </x:c>
      <x:c r="AW111" s="377" t="str">
        <x:f>IF($AN111="","",COUNTIF('3. 일출(의존)'!$AS$8:$AS$2000,$AN111)+COUNTIF('3. 일출(자체)'!$AM$8:$AM$2000,$AN111))</x:f>
        <x:v/>
      </x:c>
      <x:c r="AX111" s="374" t="str">
        <x:f t="shared" ref="AX111:AX126" si="177">IF($AN111="","",IF($AO111="자체","",IF($AO111="지방채",IF($AC111=$AV111,"OK","@@"),IF($AO111="지역개발기금",IF($AD111=$AV111,"OK","@@"),"@@"))))</x:f>
        <x:v/>
      </x:c>
      <x:c r="AY111" s="91"/>
      <x:c r="AZ111" s="472" t="str">
        <x:f>IF($AK111="","",SUMIFS('3. 일출(의존)'!$AH$8:$AH$1989,'3. 일출(의존)'!$AN$8:$AN$1989,$AK111))</x:f>
        <x:v/>
      </x:c>
      <x:c r="BA111" s="377" t="str">
        <x:f>IF($AK111="","",COUNTIF('3. 일출(의존)'!$AN$7:$AN$1989,$AK111))</x:f>
        <x:v/>
      </x:c>
      <x:c r="BB111" s="374" t="str">
        <x:f t="shared" ref="BB111:BB126" si="178">IF($AK111="","",IF($AF111=$AZ111,"OK","@@"))</x:f>
        <x:v/>
      </x:c>
      <x:c r="BC111" s="472" t="str">
        <x:f>IF($AN111="","",IF($AO111="지역개발기금",SUMIFS('3. 일출(의존)'!$AK$8:$AK$2000,'3. 일출(의존)'!$AS$8:$AS$2000,$AN111)+SUMIFS('3. 일출(자체)'!$AJ$8:$AJ$2000,'3. 일출(자체)'!$AM$8:$AM$2000,$AN111),IF($AO111="지방채",SUMIFS('3. 일출(의존)'!$AJ$8:$AJ$2000,'3. 일출(의존)'!$AS$8:$AS$2000,$AN111)+SUMIFS('3. 일출(자체)'!$AI$8:$AI$2000,'3. 일출(자체)'!$AM$8:$AM$2000,$AN111),0)))</x:f>
        <x:v/>
      </x:c>
      <x:c r="BD111" s="377" t="str">
        <x:f>IF($AN111="","",COUNTIF('3. 일출(의존)'!$AS$8:$AS$2000,$AN111)+COUNTIF('3. 일출(자체)'!$AM$8:$AM$2000,$AN111))</x:f>
        <x:v/>
      </x:c>
      <x:c r="BE111" s="374" t="str">
        <x:f t="shared" ref="BE111:BE126" si="179">IF($AN111="","",IF($AO111="자체","",IF($AO111="지방채",IF($AH111=$BC111,"OK","@@"),IF($AO111="지역개발기금",IF($AI111=$BC111,"OK","@@"),"@@"))))</x:f>
        <x:v/>
      </x:c>
    </x:row>
    <x:row r="112" spans="1:57" s="20" customFormat="1" ht="80.099999999999994" customHeight="1">
      <x:c r="A112" s="155" t="str">
        <x:f>IF(D112="","",COUNTA($C$8:C112)-COUNTBLANK($C$8:C112)+7)</x:f>
        <x:v/>
      </x:c>
      <x:c r="B112" s="156" t="str">
        <x: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x:f>
        <x:v/>
      </x:c>
      <x:c r="C112" s="156" t="str">
        <x:f>IF(D112="","",IF(OR(D112="교육지원과",D112="총무과",D112="인사과"),"직접입력",VLOOKUP(D112,구분표!$A$3:$C$258,3,)))</x:f>
        <x:v/>
      </x:c>
      <x:c r="D112" s="219"/>
      <x:c r="E112" s="213"/>
      <x:c r="F112" s="388" t="str">
        <x:f t="shared" ref="F112:G126" si="180">IF($E112="","",IF($E112="2추","직접입력","-"))</x:f>
        <x:v/>
      </x:c>
      <x:c r="G112" s="388" t="str">
        <x:f t="shared" si="180"/>
        <x:v/>
      </x:c>
      <x:c r="H112" s="213"/>
      <x:c r="I112" s="156" t="str">
        <x:f>IF(H112="","",VLOOKUP($H112,구분표!$O$3:$P$168,2,FALSE))</x:f>
        <x:v/>
      </x:c>
      <x:c r="J112" s="215"/>
      <x:c r="K112" s="459" t="str">
        <x:f t="shared" ref="K112:K126" si="181">IF($E112="","",IF(OR($E112="2추",$E112="1추",$E112="본예산"),"금액입력","-"))</x:f>
        <x:v/>
      </x:c>
      <x:c r="L112" s="459" t="str">
        <x:f t="shared" ref="L112:L126" si="182">IF($E112="","",IF($E112="2추","금액입력","-"))</x:f>
        <x:v/>
      </x:c>
      <x:c r="M112" s="461" t="str">
        <x:f t="shared" si="161"/>
        <x:v/>
      </x:c>
      <x:c r="N112" s="460"/>
      <x:c r="O112" s="461">
        <x:f t="shared" si="162"/>
        <x:v>0</x:v>
      </x:c>
      <x:c r="P112" s="462"/>
      <x:c r="Q112" s="463">
        <x:f t="shared" si="163"/>
        <x:v>0</x:v>
      </x:c>
      <x:c r="R112" s="162" t="str">
        <x:f t="shared" si="164"/>
        <x:v>X</x:v>
      </x:c>
      <x:c r="S112" s="216"/>
      <x:c r="T112" s="327"/>
      <x:c r="U112" s="217"/>
      <x:c r="V112" s="203"/>
      <x:c r="W112" s="217"/>
      <x:c r="X112" s="217"/>
      <x:c r="Y112" s="162" t="str">
        <x:f t="shared" si="165"/>
        <x:v/>
      </x:c>
      <x:c r="Z112" s="45"/>
      <x:c r="AA112" s="471" t="str">
        <x:f t="shared" si="166"/>
        <x:v/>
      </x:c>
      <x:c r="AB112" s="471" t="str">
        <x:f t="shared" si="167"/>
        <x:v/>
      </x:c>
      <x:c r="AC112" s="471" t="str">
        <x:f t="shared" si="168"/>
        <x:v/>
      </x:c>
      <x:c r="AD112" s="471" t="str">
        <x:f t="shared" si="169"/>
        <x:v/>
      </x:c>
      <x:c r="AE112" s="46"/>
      <x:c r="AF112" s="471" t="str">
        <x:f t="shared" si="170"/>
        <x:v/>
      </x:c>
      <x:c r="AG112" s="471" t="str">
        <x:f t="shared" si="171"/>
        <x:v/>
      </x:c>
      <x:c r="AH112" s="471" t="str">
        <x:f t="shared" si="172"/>
        <x:v/>
      </x:c>
      <x:c r="AI112" s="471" t="str">
        <x:f t="shared" si="173"/>
        <x:v/>
      </x:c>
      <x:c r="AJ112" s="87"/>
      <x:c r="AK112" s="374" t="str">
        <x:f>IF($AQ112="","",IF(OR($AL112="",$AL112="도비"),"",CONCATENATE($AQ112,"-",COUNTIF($AQ$8:$AQ112,$AQ112))))</x:f>
        <x:v/>
      </x:c>
      <x:c r="AL112" s="374" t="str">
        <x:f t="shared" si="174"/>
        <x:v/>
      </x:c>
      <x:c r="AM112" s="87"/>
      <x:c r="AN112" s="375" t="str">
        <x:f>IF($AQ112="","",IF(OR($AO112="",$AO112="국비",$AO112="자체"),"",CONCATENATE($AQ112,"-",$AO112,"-",COUNTIF($AQ$8:$AQ112,$AQ112))))</x:f>
        <x:v/>
      </x:c>
      <x:c r="AO112" s="375" t="str">
        <x:f t="shared" si="175"/>
        <x:v/>
      </x:c>
      <x:c r="AP112" s="87"/>
      <x:c r="AQ112" s="374" t="str">
        <x:f t="array" ref="AQ112:AQ112">IF(OR($D112="",$C112="직접입력",$B112="직접입력"),"",INDEX(구분표!$I$2:$I$337,MATCH(1,(구분표!$G$2:$G$337='3. 일입'!$B112)*(구분표!$E$2:$E$337='3. 일입'!$C112)*(구분표!$F$2:$F$337='3. 일입'!$D112),0)))</x:f>
        <x:v/>
      </x:c>
      <x:c r="AR112" s="87"/>
      <x:c r="AS112" s="472" t="str">
        <x:f>IF($AK112="","",SUMIFS('3. 일출(의존)'!$AB$7:$AB$1989,'3. 일출(의존)'!$AN$7:$AN$1989,$AK112))</x:f>
        <x:v/>
      </x:c>
      <x:c r="AT112" s="377" t="str">
        <x:f>IF($AK112="","",COUNTIF('3. 일출(의존)'!$AN$7:$AN$1989,$AK112))</x:f>
        <x:v/>
      </x:c>
      <x:c r="AU112" s="374" t="str">
        <x:f t="shared" si="176"/>
        <x:v/>
      </x:c>
      <x:c r="AV112" s="472" t="str">
        <x:f>IF($AN112="","",IF($AO112="지역개발기금",SUMIFS('3. 일출(의존)'!$AE$8:$AE$2000,'3. 일출(의존)'!$AS$8:$AS$2000,$AN112)+SUMIFS('3. 일출(자체)'!$AE$8:$AE$2000,'3. 일출(자체)'!$AM$8:$AM$2000,$AN112),IF($AO112="지방채",SUMIFS('3. 일출(의존)'!$AD$8:$AD$2000,'3. 일출(의존)'!$AS$8:$AS$2000,$AN112)+SUMIFS('3. 일출(자체)'!$AD$8:$AD$2000,'3. 일출(자체)'!$AM$8:$AM$2000,$AN112),0)))</x:f>
        <x:v/>
      </x:c>
      <x:c r="AW112" s="377" t="str">
        <x:f>IF($AN112="","",COUNTIF('3. 일출(의존)'!$AS$8:$AS$2000,$AN112)+COUNTIF('3. 일출(자체)'!$AM$8:$AM$2000,$AN112))</x:f>
        <x:v/>
      </x:c>
      <x:c r="AX112" s="374" t="str">
        <x:f t="shared" si="177"/>
        <x:v/>
      </x:c>
      <x:c r="AY112" s="91"/>
      <x:c r="AZ112" s="472" t="str">
        <x:f>IF($AK112="","",SUMIFS('3. 일출(의존)'!$AH$8:$AH$1989,'3. 일출(의존)'!$AN$8:$AN$1989,$AK112))</x:f>
        <x:v/>
      </x:c>
      <x:c r="BA112" s="377" t="str">
        <x:f>IF($AK112="","",COUNTIF('3. 일출(의존)'!$AN$7:$AN$1989,$AK112))</x:f>
        <x:v/>
      </x:c>
      <x:c r="BB112" s="374" t="str">
        <x:f t="shared" si="178"/>
        <x:v/>
      </x:c>
      <x:c r="BC112" s="472" t="str">
        <x:f>IF($AN112="","",IF($AO112="지역개발기금",SUMIFS('3. 일출(의존)'!$AK$8:$AK$2000,'3. 일출(의존)'!$AS$8:$AS$2000,$AN112)+SUMIFS('3. 일출(자체)'!$AJ$8:$AJ$2000,'3. 일출(자체)'!$AM$8:$AM$2000,$AN112),IF($AO112="지방채",SUMIFS('3. 일출(의존)'!$AJ$8:$AJ$2000,'3. 일출(의존)'!$AS$8:$AS$2000,$AN112)+SUMIFS('3. 일출(자체)'!$AI$8:$AI$2000,'3. 일출(자체)'!$AM$8:$AM$2000,$AN112),0)))</x:f>
        <x:v/>
      </x:c>
      <x:c r="BD112" s="377" t="str">
        <x:f>IF($AN112="","",COUNTIF('3. 일출(의존)'!$AS$8:$AS$2000,$AN112)+COUNTIF('3. 일출(자체)'!$AM$8:$AM$2000,$AN112))</x:f>
        <x:v/>
      </x:c>
      <x:c r="BE112" s="374" t="str">
        <x:f t="shared" si="179"/>
        <x:v/>
      </x:c>
    </x:row>
    <x:row r="113" spans="1:57" s="20" customFormat="1" ht="80.099999999999994" customHeight="1">
      <x:c r="A113" s="155" t="str">
        <x:f>IF(D113="","",COUNTA($C$8:C113)-COUNTBLANK($C$8:C113)+7)</x:f>
        <x:v/>
      </x:c>
      <x:c r="B113" s="156" t="str">
        <x: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x:f>
        <x:v/>
      </x:c>
      <x:c r="C113" s="156" t="str">
        <x:f>IF(D113="","",IF(OR(D113="교육지원과",D113="총무과",D113="인사과"),"직접입력",VLOOKUP(D113,구분표!$A$3:$C$258,3,)))</x:f>
        <x:v/>
      </x:c>
      <x:c r="D113" s="219"/>
      <x:c r="E113" s="213"/>
      <x:c r="F113" s="388" t="str">
        <x:f t="shared" si="180"/>
        <x:v/>
      </x:c>
      <x:c r="G113" s="388" t="str">
        <x:f t="shared" si="180"/>
        <x:v/>
      </x:c>
      <x:c r="H113" s="213"/>
      <x:c r="I113" s="156" t="str">
        <x:f>IF(H113="","",VLOOKUP($H113,구분표!$O$3:$P$168,2,FALSE))</x:f>
        <x:v/>
      </x:c>
      <x:c r="J113" s="215"/>
      <x:c r="K113" s="459" t="str">
        <x:f t="shared" si="181"/>
        <x:v/>
      </x:c>
      <x:c r="L113" s="459" t="str">
        <x:f t="shared" si="182"/>
        <x:v/>
      </x:c>
      <x:c r="M113" s="461" t="str">
        <x:f t="shared" si="161"/>
        <x:v/>
      </x:c>
      <x:c r="N113" s="460"/>
      <x:c r="O113" s="461">
        <x:f t="shared" si="162"/>
        <x:v>0</x:v>
      </x:c>
      <x:c r="P113" s="462"/>
      <x:c r="Q113" s="463">
        <x:f t="shared" si="163"/>
        <x:v>0</x:v>
      </x:c>
      <x:c r="R113" s="162" t="str">
        <x:f t="shared" si="164"/>
        <x:v>X</x:v>
      </x:c>
      <x:c r="S113" s="216"/>
      <x:c r="T113" s="327"/>
      <x:c r="U113" s="217"/>
      <x:c r="V113" s="203"/>
      <x:c r="W113" s="217"/>
      <x:c r="X113" s="217"/>
      <x:c r="Y113" s="162" t="str">
        <x:f t="shared" si="165"/>
        <x:v/>
      </x:c>
      <x:c r="Z113" s="45"/>
      <x:c r="AA113" s="471" t="str">
        <x:f t="shared" si="166"/>
        <x:v/>
      </x:c>
      <x:c r="AB113" s="471" t="str">
        <x:f t="shared" si="167"/>
        <x:v/>
      </x:c>
      <x:c r="AC113" s="471" t="str">
        <x:f t="shared" si="168"/>
        <x:v/>
      </x:c>
      <x:c r="AD113" s="471" t="str">
        <x:f t="shared" si="169"/>
        <x:v/>
      </x:c>
      <x:c r="AE113" s="46"/>
      <x:c r="AF113" s="471" t="str">
        <x:f t="shared" si="170"/>
        <x:v/>
      </x:c>
      <x:c r="AG113" s="471" t="str">
        <x:f t="shared" si="171"/>
        <x:v/>
      </x:c>
      <x:c r="AH113" s="471" t="str">
        <x:f t="shared" si="172"/>
        <x:v/>
      </x:c>
      <x:c r="AI113" s="471" t="str">
        <x:f t="shared" si="173"/>
        <x:v/>
      </x:c>
      <x:c r="AJ113" s="87"/>
      <x:c r="AK113" s="374" t="str">
        <x:f>IF($AQ113="","",IF(OR($AL113="",$AL113="도비"),"",CONCATENATE($AQ113,"-",COUNTIF($AQ$8:$AQ113,$AQ113))))</x:f>
        <x:v/>
      </x:c>
      <x:c r="AL113" s="374" t="str">
        <x:f t="shared" si="174"/>
        <x:v/>
      </x:c>
      <x:c r="AM113" s="87"/>
      <x:c r="AN113" s="375" t="str">
        <x:f>IF($AQ113="","",IF(OR($AO113="",$AO113="국비",$AO113="자체"),"",CONCATENATE($AQ113,"-",$AO113,"-",COUNTIF($AQ$8:$AQ113,$AQ113))))</x:f>
        <x:v/>
      </x:c>
      <x:c r="AO113" s="375" t="str">
        <x:f t="shared" si="175"/>
        <x:v/>
      </x:c>
      <x:c r="AP113" s="87"/>
      <x:c r="AQ113" s="374" t="str">
        <x:f t="array" ref="AQ113:AQ113">IF(OR($D113="",$C113="직접입력",$B113="직접입력"),"",INDEX(구분표!$I$2:$I$337,MATCH(1,(구분표!$G$2:$G$337='3. 일입'!$B113)*(구분표!$E$2:$E$337='3. 일입'!$C113)*(구분표!$F$2:$F$337='3. 일입'!$D113),0)))</x:f>
        <x:v/>
      </x:c>
      <x:c r="AR113" s="87"/>
      <x:c r="AS113" s="472" t="str">
        <x:f>IF($AK113="","",SUMIFS('3. 일출(의존)'!$AB$7:$AB$1989,'3. 일출(의존)'!$AN$7:$AN$1989,$AK113))</x:f>
        <x:v/>
      </x:c>
      <x:c r="AT113" s="377" t="str">
        <x:f>IF($AK113="","",COUNTIF('3. 일출(의존)'!$AN$7:$AN$1989,$AK113))</x:f>
        <x:v/>
      </x:c>
      <x:c r="AU113" s="374" t="str">
        <x:f t="shared" si="176"/>
        <x:v/>
      </x:c>
      <x:c r="AV113" s="472" t="str">
        <x:f>IF($AN113="","",IF($AO113="지역개발기금",SUMIFS('3. 일출(의존)'!$AE$8:$AE$2000,'3. 일출(의존)'!$AS$8:$AS$2000,$AN113)+SUMIFS('3. 일출(자체)'!$AE$8:$AE$2000,'3. 일출(자체)'!$AM$8:$AM$2000,$AN113),IF($AO113="지방채",SUMIFS('3. 일출(의존)'!$AD$8:$AD$2000,'3. 일출(의존)'!$AS$8:$AS$2000,$AN113)+SUMIFS('3. 일출(자체)'!$AD$8:$AD$2000,'3. 일출(자체)'!$AM$8:$AM$2000,$AN113),0)))</x:f>
        <x:v/>
      </x:c>
      <x:c r="AW113" s="377" t="str">
        <x:f>IF($AN113="","",COUNTIF('3. 일출(의존)'!$AS$8:$AS$2000,$AN113)+COUNTIF('3. 일출(자체)'!$AM$8:$AM$2000,$AN113))</x:f>
        <x:v/>
      </x:c>
      <x:c r="AX113" s="374" t="str">
        <x:f t="shared" si="177"/>
        <x:v/>
      </x:c>
      <x:c r="AY113" s="91"/>
      <x:c r="AZ113" s="472" t="str">
        <x:f>IF($AK113="","",SUMIFS('3. 일출(의존)'!$AH$8:$AH$1989,'3. 일출(의존)'!$AN$8:$AN$1989,$AK113))</x:f>
        <x:v/>
      </x:c>
      <x:c r="BA113" s="377" t="str">
        <x:f>IF($AK113="","",COUNTIF('3. 일출(의존)'!$AN$7:$AN$1989,$AK113))</x:f>
        <x:v/>
      </x:c>
      <x:c r="BB113" s="374" t="str">
        <x:f t="shared" si="178"/>
        <x:v/>
      </x:c>
      <x:c r="BC113" s="472" t="str">
        <x:f>IF($AN113="","",IF($AO113="지역개발기금",SUMIFS('3. 일출(의존)'!$AK$8:$AK$2000,'3. 일출(의존)'!$AS$8:$AS$2000,$AN113)+SUMIFS('3. 일출(자체)'!$AJ$8:$AJ$2000,'3. 일출(자체)'!$AM$8:$AM$2000,$AN113),IF($AO113="지방채",SUMIFS('3. 일출(의존)'!$AJ$8:$AJ$2000,'3. 일출(의존)'!$AS$8:$AS$2000,$AN113)+SUMIFS('3. 일출(자체)'!$AI$8:$AI$2000,'3. 일출(자체)'!$AM$8:$AM$2000,$AN113),0)))</x:f>
        <x:v/>
      </x:c>
      <x:c r="BD113" s="377" t="str">
        <x:f>IF($AN113="","",COUNTIF('3. 일출(의존)'!$AS$8:$AS$2000,$AN113)+COUNTIF('3. 일출(자체)'!$AM$8:$AM$2000,$AN113))</x:f>
        <x:v/>
      </x:c>
      <x:c r="BE113" s="374" t="str">
        <x:f t="shared" si="179"/>
        <x:v/>
      </x:c>
    </x:row>
    <x:row r="114" spans="1:57" s="20" customFormat="1" ht="80.099999999999994" customHeight="1">
      <x:c r="A114" s="155" t="str">
        <x:f>IF(D114="","",COUNTA($C$8:C114)-COUNTBLANK($C$8:C114)+7)</x:f>
        <x:v/>
      </x:c>
      <x:c r="B114" s="156" t="str">
        <x: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x:f>
        <x:v/>
      </x:c>
      <x:c r="C114" s="156" t="str">
        <x:f>IF(D114="","",IF(OR(D114="교육지원과",D114="총무과",D114="인사과"),"직접입력",VLOOKUP(D114,구분표!$A$3:$C$258,3,)))</x:f>
        <x:v/>
      </x:c>
      <x:c r="D114" s="219"/>
      <x:c r="E114" s="213"/>
      <x:c r="F114" s="388" t="str">
        <x:f t="shared" si="180"/>
        <x:v/>
      </x:c>
      <x:c r="G114" s="388" t="str">
        <x:f t="shared" si="180"/>
        <x:v/>
      </x:c>
      <x:c r="H114" s="213"/>
      <x:c r="I114" s="156" t="str">
        <x:f>IF(H114="","",VLOOKUP($H114,구분표!$O$3:$P$168,2,FALSE))</x:f>
        <x:v/>
      </x:c>
      <x:c r="J114" s="215"/>
      <x:c r="K114" s="459" t="str">
        <x:f t="shared" si="181"/>
        <x:v/>
      </x:c>
      <x:c r="L114" s="459" t="str">
        <x:f t="shared" si="182"/>
        <x:v/>
      </x:c>
      <x:c r="M114" s="461" t="str">
        <x:f t="shared" si="161"/>
        <x:v/>
      </x:c>
      <x:c r="N114" s="460"/>
      <x:c r="O114" s="461">
        <x:f t="shared" si="162"/>
        <x:v>0</x:v>
      </x:c>
      <x:c r="P114" s="462"/>
      <x:c r="Q114" s="463">
        <x:f t="shared" si="163"/>
        <x:v>0</x:v>
      </x:c>
      <x:c r="R114" s="162" t="str">
        <x:f t="shared" si="164"/>
        <x:v>X</x:v>
      </x:c>
      <x:c r="S114" s="216"/>
      <x:c r="T114" s="327"/>
      <x:c r="U114" s="217"/>
      <x:c r="V114" s="203"/>
      <x:c r="W114" s="217"/>
      <x:c r="X114" s="217"/>
      <x:c r="Y114" s="162" t="str">
        <x:f t="shared" si="165"/>
        <x:v/>
      </x:c>
      <x:c r="Z114" s="45"/>
      <x:c r="AA114" s="471" t="str">
        <x:f t="shared" si="166"/>
        <x:v/>
      </x:c>
      <x:c r="AB114" s="471" t="str">
        <x:f t="shared" si="167"/>
        <x:v/>
      </x:c>
      <x:c r="AC114" s="471" t="str">
        <x:f t="shared" si="168"/>
        <x:v/>
      </x:c>
      <x:c r="AD114" s="471" t="str">
        <x:f t="shared" si="169"/>
        <x:v/>
      </x:c>
      <x:c r="AE114" s="46"/>
      <x:c r="AF114" s="471" t="str">
        <x:f t="shared" si="170"/>
        <x:v/>
      </x:c>
      <x:c r="AG114" s="471" t="str">
        <x:f t="shared" si="171"/>
        <x:v/>
      </x:c>
      <x:c r="AH114" s="471" t="str">
        <x:f t="shared" si="172"/>
        <x:v/>
      </x:c>
      <x:c r="AI114" s="471" t="str">
        <x:f t="shared" si="173"/>
        <x:v/>
      </x:c>
      <x:c r="AJ114" s="87"/>
      <x:c r="AK114" s="374" t="str">
        <x:f>IF($AQ114="","",IF(OR($AL114="",$AL114="도비"),"",CONCATENATE($AQ114,"-",COUNTIF($AQ$8:$AQ114,$AQ114))))</x:f>
        <x:v/>
      </x:c>
      <x:c r="AL114" s="374" t="str">
        <x:f t="shared" si="174"/>
        <x:v/>
      </x:c>
      <x:c r="AM114" s="87"/>
      <x:c r="AN114" s="375" t="str">
        <x:f>IF($AQ114="","",IF(OR($AO114="",$AO114="국비",$AO114="자체"),"",CONCATENATE($AQ114,"-",$AO114,"-",COUNTIF($AQ$8:$AQ114,$AQ114))))</x:f>
        <x:v/>
      </x:c>
      <x:c r="AO114" s="375" t="str">
        <x:f t="shared" si="175"/>
        <x:v/>
      </x:c>
      <x:c r="AP114" s="87"/>
      <x:c r="AQ114" s="374" t="str">
        <x:f t="array" ref="AQ114:AQ114">IF(OR($D114="",$C114="직접입력",$B114="직접입력"),"",INDEX(구분표!$I$2:$I$337,MATCH(1,(구분표!$G$2:$G$337='3. 일입'!$B114)*(구분표!$E$2:$E$337='3. 일입'!$C114)*(구분표!$F$2:$F$337='3. 일입'!$D114),0)))</x:f>
        <x:v/>
      </x:c>
      <x:c r="AR114" s="87"/>
      <x:c r="AS114" s="472" t="str">
        <x:f>IF($AK114="","",SUMIFS('3. 일출(의존)'!$AB$7:$AB$1989,'3. 일출(의존)'!$AN$7:$AN$1989,$AK114))</x:f>
        <x:v/>
      </x:c>
      <x:c r="AT114" s="377" t="str">
        <x:f>IF($AK114="","",COUNTIF('3. 일출(의존)'!$AN$7:$AN$1989,$AK114))</x:f>
        <x:v/>
      </x:c>
      <x:c r="AU114" s="374" t="str">
        <x:f t="shared" si="176"/>
        <x:v/>
      </x:c>
      <x:c r="AV114" s="472" t="str">
        <x:f>IF($AN114="","",IF($AO114="지역개발기금",SUMIFS('3. 일출(의존)'!$AE$8:$AE$2000,'3. 일출(의존)'!$AS$8:$AS$2000,$AN114)+SUMIFS('3. 일출(자체)'!$AE$8:$AE$2000,'3. 일출(자체)'!$AM$8:$AM$2000,$AN114),IF($AO114="지방채",SUMIFS('3. 일출(의존)'!$AD$8:$AD$2000,'3. 일출(의존)'!$AS$8:$AS$2000,$AN114)+SUMIFS('3. 일출(자체)'!$AD$8:$AD$2000,'3. 일출(자체)'!$AM$8:$AM$2000,$AN114),0)))</x:f>
        <x:v/>
      </x:c>
      <x:c r="AW114" s="377" t="str">
        <x:f>IF($AN114="","",COUNTIF('3. 일출(의존)'!$AS$8:$AS$2000,$AN114)+COUNTIF('3. 일출(자체)'!$AM$8:$AM$2000,$AN114))</x:f>
        <x:v/>
      </x:c>
      <x:c r="AX114" s="374" t="str">
        <x:f t="shared" si="177"/>
        <x:v/>
      </x:c>
      <x:c r="AY114" s="91"/>
      <x:c r="AZ114" s="472" t="str">
        <x:f>IF($AK114="","",SUMIFS('3. 일출(의존)'!$AH$8:$AH$1989,'3. 일출(의존)'!$AN$8:$AN$1989,$AK114))</x:f>
        <x:v/>
      </x:c>
      <x:c r="BA114" s="377" t="str">
        <x:f>IF($AK114="","",COUNTIF('3. 일출(의존)'!$AN$7:$AN$1989,$AK114))</x:f>
        <x:v/>
      </x:c>
      <x:c r="BB114" s="374" t="str">
        <x:f t="shared" si="178"/>
        <x:v/>
      </x:c>
      <x:c r="BC114" s="472" t="str">
        <x:f>IF($AN114="","",IF($AO114="지역개발기금",SUMIFS('3. 일출(의존)'!$AK$8:$AK$2000,'3. 일출(의존)'!$AS$8:$AS$2000,$AN114)+SUMIFS('3. 일출(자체)'!$AJ$8:$AJ$2000,'3. 일출(자체)'!$AM$8:$AM$2000,$AN114),IF($AO114="지방채",SUMIFS('3. 일출(의존)'!$AJ$8:$AJ$2000,'3. 일출(의존)'!$AS$8:$AS$2000,$AN114)+SUMIFS('3. 일출(자체)'!$AI$8:$AI$2000,'3. 일출(자체)'!$AM$8:$AM$2000,$AN114),0)))</x:f>
        <x:v/>
      </x:c>
      <x:c r="BD114" s="377" t="str">
        <x:f>IF($AN114="","",COUNTIF('3. 일출(의존)'!$AS$8:$AS$2000,$AN114)+COUNTIF('3. 일출(자체)'!$AM$8:$AM$2000,$AN114))</x:f>
        <x:v/>
      </x:c>
      <x:c r="BE114" s="374" t="str">
        <x:f t="shared" si="179"/>
        <x:v/>
      </x:c>
    </x:row>
    <x:row r="115" spans="1:57" s="20" customFormat="1" ht="80.099999999999994" customHeight="1">
      <x:c r="A115" s="155" t="str">
        <x:f>IF(D115="","",COUNTA($C$8:C115)-COUNTBLANK($C$8:C115)+7)</x:f>
        <x:v/>
      </x:c>
      <x:c r="B115" s="156" t="str">
        <x: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x:f>
        <x:v/>
      </x:c>
      <x:c r="C115" s="156" t="str">
        <x:f>IF(D115="","",IF(OR(D115="교육지원과",D115="총무과",D115="인사과"),"직접입력",VLOOKUP(D115,구분표!$A$3:$C$258,3,)))</x:f>
        <x:v/>
      </x:c>
      <x:c r="D115" s="219"/>
      <x:c r="E115" s="213"/>
      <x:c r="F115" s="388" t="str">
        <x:f t="shared" si="180"/>
        <x:v/>
      </x:c>
      <x:c r="G115" s="388" t="str">
        <x:f t="shared" si="180"/>
        <x:v/>
      </x:c>
      <x:c r="H115" s="213"/>
      <x:c r="I115" s="156" t="str">
        <x:f>IF(H115="","",VLOOKUP($H115,구분표!$O$3:$P$168,2,FALSE))</x:f>
        <x:v/>
      </x:c>
      <x:c r="J115" s="215"/>
      <x:c r="K115" s="459" t="str">
        <x:f t="shared" si="181"/>
        <x:v/>
      </x:c>
      <x:c r="L115" s="459" t="str">
        <x:f t="shared" si="182"/>
        <x:v/>
      </x:c>
      <x:c r="M115" s="461" t="str">
        <x:f t="shared" si="161"/>
        <x:v/>
      </x:c>
      <x:c r="N115" s="460"/>
      <x:c r="O115" s="461">
        <x:f t="shared" si="162"/>
        <x:v>0</x:v>
      </x:c>
      <x:c r="P115" s="462"/>
      <x:c r="Q115" s="463">
        <x:f t="shared" si="163"/>
        <x:v>0</x:v>
      </x:c>
      <x:c r="R115" s="162" t="str">
        <x:f t="shared" si="164"/>
        <x:v>X</x:v>
      </x:c>
      <x:c r="S115" s="216"/>
      <x:c r="T115" s="327"/>
      <x:c r="U115" s="217"/>
      <x:c r="V115" s="203"/>
      <x:c r="W115" s="217"/>
      <x:c r="X115" s="217"/>
      <x:c r="Y115" s="162" t="str">
        <x:f t="shared" si="165"/>
        <x:v/>
      </x:c>
      <x:c r="Z115" s="45"/>
      <x:c r="AA115" s="471" t="str">
        <x:f t="shared" si="166"/>
        <x:v/>
      </x:c>
      <x:c r="AB115" s="471" t="str">
        <x:f t="shared" si="167"/>
        <x:v/>
      </x:c>
      <x:c r="AC115" s="471" t="str">
        <x:f t="shared" si="168"/>
        <x:v/>
      </x:c>
      <x:c r="AD115" s="471" t="str">
        <x:f t="shared" si="169"/>
        <x:v/>
      </x:c>
      <x:c r="AE115" s="46"/>
      <x:c r="AF115" s="471" t="str">
        <x:f t="shared" si="170"/>
        <x:v/>
      </x:c>
      <x:c r="AG115" s="471" t="str">
        <x:f t="shared" si="171"/>
        <x:v/>
      </x:c>
      <x:c r="AH115" s="471" t="str">
        <x:f t="shared" si="172"/>
        <x:v/>
      </x:c>
      <x:c r="AI115" s="471" t="str">
        <x:f t="shared" si="173"/>
        <x:v/>
      </x:c>
      <x:c r="AJ115" s="87"/>
      <x:c r="AK115" s="374" t="str">
        <x:f>IF($AQ115="","",IF(OR($AL115="",$AL115="도비"),"",CONCATENATE($AQ115,"-",COUNTIF($AQ$8:$AQ115,$AQ115))))</x:f>
        <x:v/>
      </x:c>
      <x:c r="AL115" s="374" t="str">
        <x:f t="shared" si="174"/>
        <x:v/>
      </x:c>
      <x:c r="AM115" s="87"/>
      <x:c r="AN115" s="375" t="str">
        <x:f>IF($AQ115="","",IF(OR($AO115="",$AO115="국비",$AO115="자체"),"",CONCATENATE($AQ115,"-",$AO115,"-",COUNTIF($AQ$8:$AQ115,$AQ115))))</x:f>
        <x:v/>
      </x:c>
      <x:c r="AO115" s="375" t="str">
        <x:f t="shared" si="175"/>
        <x:v/>
      </x:c>
      <x:c r="AP115" s="87"/>
      <x:c r="AQ115" s="374" t="str">
        <x:f t="array" ref="AQ115:AQ115">IF(OR($D115="",$C115="직접입력",$B115="직접입력"),"",INDEX(구분표!$I$2:$I$337,MATCH(1,(구분표!$G$2:$G$337='3. 일입'!$B115)*(구분표!$E$2:$E$337='3. 일입'!$C115)*(구분표!$F$2:$F$337='3. 일입'!$D115),0)))</x:f>
        <x:v/>
      </x:c>
      <x:c r="AR115" s="87"/>
      <x:c r="AS115" s="472" t="str">
        <x:f>IF($AK115="","",SUMIFS('3. 일출(의존)'!$AB$7:$AB$1989,'3. 일출(의존)'!$AN$7:$AN$1989,$AK115))</x:f>
        <x:v/>
      </x:c>
      <x:c r="AT115" s="377" t="str">
        <x:f>IF($AK115="","",COUNTIF('3. 일출(의존)'!$AN$7:$AN$1989,$AK115))</x:f>
        <x:v/>
      </x:c>
      <x:c r="AU115" s="374" t="str">
        <x:f t="shared" si="176"/>
        <x:v/>
      </x:c>
      <x:c r="AV115" s="472" t="str">
        <x:f>IF($AN115="","",IF($AO115="지역개발기금",SUMIFS('3. 일출(의존)'!$AE$8:$AE$2000,'3. 일출(의존)'!$AS$8:$AS$2000,$AN115)+SUMIFS('3. 일출(자체)'!$AE$8:$AE$2000,'3. 일출(자체)'!$AM$8:$AM$2000,$AN115),IF($AO115="지방채",SUMIFS('3. 일출(의존)'!$AD$8:$AD$2000,'3. 일출(의존)'!$AS$8:$AS$2000,$AN115)+SUMIFS('3. 일출(자체)'!$AD$8:$AD$2000,'3. 일출(자체)'!$AM$8:$AM$2000,$AN115),0)))</x:f>
        <x:v/>
      </x:c>
      <x:c r="AW115" s="377" t="str">
        <x:f>IF($AN115="","",COUNTIF('3. 일출(의존)'!$AS$8:$AS$2000,$AN115)+COUNTIF('3. 일출(자체)'!$AM$8:$AM$2000,$AN115))</x:f>
        <x:v/>
      </x:c>
      <x:c r="AX115" s="374" t="str">
        <x:f t="shared" si="177"/>
        <x:v/>
      </x:c>
      <x:c r="AY115" s="91"/>
      <x:c r="AZ115" s="472" t="str">
        <x:f>IF($AK115="","",SUMIFS('3. 일출(의존)'!$AH$8:$AH$1989,'3. 일출(의존)'!$AN$8:$AN$1989,$AK115))</x:f>
        <x:v/>
      </x:c>
      <x:c r="BA115" s="377" t="str">
        <x:f>IF($AK115="","",COUNTIF('3. 일출(의존)'!$AN$7:$AN$1989,$AK115))</x:f>
        <x:v/>
      </x:c>
      <x:c r="BB115" s="374" t="str">
        <x:f t="shared" si="178"/>
        <x:v/>
      </x:c>
      <x:c r="BC115" s="472" t="str">
        <x:f>IF($AN115="","",IF($AO115="지역개발기금",SUMIFS('3. 일출(의존)'!$AK$8:$AK$2000,'3. 일출(의존)'!$AS$8:$AS$2000,$AN115)+SUMIFS('3. 일출(자체)'!$AJ$8:$AJ$2000,'3. 일출(자체)'!$AM$8:$AM$2000,$AN115),IF($AO115="지방채",SUMIFS('3. 일출(의존)'!$AJ$8:$AJ$2000,'3. 일출(의존)'!$AS$8:$AS$2000,$AN115)+SUMIFS('3. 일출(자체)'!$AI$8:$AI$2000,'3. 일출(자체)'!$AM$8:$AM$2000,$AN115),0)))</x:f>
        <x:v/>
      </x:c>
      <x:c r="BD115" s="377" t="str">
        <x:f>IF($AN115="","",COUNTIF('3. 일출(의존)'!$AS$8:$AS$2000,$AN115)+COUNTIF('3. 일출(자체)'!$AM$8:$AM$2000,$AN115))</x:f>
        <x:v/>
      </x:c>
      <x:c r="BE115" s="374" t="str">
        <x:f t="shared" si="179"/>
        <x:v/>
      </x:c>
    </x:row>
    <x:row r="116" spans="1:57" s="20" customFormat="1" ht="80.099999999999994" customHeight="1">
      <x:c r="A116" s="155" t="str">
        <x:f>IF(D116="","",COUNTA($C$8:C116)-COUNTBLANK($C$8:C116)+7)</x:f>
        <x:v/>
      </x:c>
      <x:c r="B116" s="156" t="str">
        <x: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x:f>
        <x:v/>
      </x:c>
      <x:c r="C116" s="156" t="str">
        <x:f>IF(D116="","",IF(OR(D116="교육지원과",D116="총무과",D116="인사과"),"직접입력",VLOOKUP(D116,구분표!$A$3:$C$258,3,)))</x:f>
        <x:v/>
      </x:c>
      <x:c r="D116" s="219"/>
      <x:c r="E116" s="213"/>
      <x:c r="F116" s="388" t="str">
        <x:f t="shared" si="180"/>
        <x:v/>
      </x:c>
      <x:c r="G116" s="388" t="str">
        <x:f t="shared" si="180"/>
        <x:v/>
      </x:c>
      <x:c r="H116" s="213"/>
      <x:c r="I116" s="156" t="str">
        <x:f>IF(H116="","",VLOOKUP($H116,구분표!$O$3:$P$168,2,FALSE))</x:f>
        <x:v/>
      </x:c>
      <x:c r="J116" s="215"/>
      <x:c r="K116" s="459" t="str">
        <x:f t="shared" si="181"/>
        <x:v/>
      </x:c>
      <x:c r="L116" s="459" t="str">
        <x:f t="shared" si="182"/>
        <x:v/>
      </x:c>
      <x:c r="M116" s="461" t="str">
        <x:f t="shared" si="161"/>
        <x:v/>
      </x:c>
      <x:c r="N116" s="460"/>
      <x:c r="O116" s="461">
        <x:f t="shared" si="162"/>
        <x:v>0</x:v>
      </x:c>
      <x:c r="P116" s="462"/>
      <x:c r="Q116" s="463">
        <x:f t="shared" si="163"/>
        <x:v>0</x:v>
      </x:c>
      <x:c r="R116" s="162" t="str">
        <x:f t="shared" si="164"/>
        <x:v>X</x:v>
      </x:c>
      <x:c r="S116" s="216"/>
      <x:c r="T116" s="327"/>
      <x:c r="U116" s="217"/>
      <x:c r="V116" s="203"/>
      <x:c r="W116" s="217"/>
      <x:c r="X116" s="217"/>
      <x:c r="Y116" s="162" t="str">
        <x:f t="shared" si="165"/>
        <x:v/>
      </x:c>
      <x:c r="Z116" s="45"/>
      <x:c r="AA116" s="471" t="str">
        <x:f t="shared" si="166"/>
        <x:v/>
      </x:c>
      <x:c r="AB116" s="471" t="str">
        <x:f t="shared" si="167"/>
        <x:v/>
      </x:c>
      <x:c r="AC116" s="471" t="str">
        <x:f t="shared" si="168"/>
        <x:v/>
      </x:c>
      <x:c r="AD116" s="471" t="str">
        <x:f t="shared" si="169"/>
        <x:v/>
      </x:c>
      <x:c r="AE116" s="46"/>
      <x:c r="AF116" s="471" t="str">
        <x:f t="shared" si="170"/>
        <x:v/>
      </x:c>
      <x:c r="AG116" s="471" t="str">
        <x:f t="shared" si="171"/>
        <x:v/>
      </x:c>
      <x:c r="AH116" s="471" t="str">
        <x:f t="shared" si="172"/>
        <x:v/>
      </x:c>
      <x:c r="AI116" s="471" t="str">
        <x:f t="shared" si="173"/>
        <x:v/>
      </x:c>
      <x:c r="AJ116" s="87"/>
      <x:c r="AK116" s="374" t="str">
        <x:f>IF($AQ116="","",IF(OR($AL116="",$AL116="도비"),"",CONCATENATE($AQ116,"-",COUNTIF($AQ$8:$AQ116,$AQ116))))</x:f>
        <x:v/>
      </x:c>
      <x:c r="AL116" s="374" t="str">
        <x:f t="shared" si="174"/>
        <x:v/>
      </x:c>
      <x:c r="AM116" s="87"/>
      <x:c r="AN116" s="375" t="str">
        <x:f>IF($AQ116="","",IF(OR($AO116="",$AO116="국비",$AO116="자체"),"",CONCATENATE($AQ116,"-",$AO116,"-",COUNTIF($AQ$8:$AQ116,$AQ116))))</x:f>
        <x:v/>
      </x:c>
      <x:c r="AO116" s="375" t="str">
        <x:f t="shared" si="175"/>
        <x:v/>
      </x:c>
      <x:c r="AP116" s="87"/>
      <x:c r="AQ116" s="374" t="str">
        <x:f t="array" ref="AQ116:AQ116">IF(OR($D116="",$C116="직접입력",$B116="직접입력"),"",INDEX(구분표!$I$2:$I$337,MATCH(1,(구분표!$G$2:$G$337='3. 일입'!$B116)*(구분표!$E$2:$E$337='3. 일입'!$C116)*(구분표!$F$2:$F$337='3. 일입'!$D116),0)))</x:f>
        <x:v/>
      </x:c>
      <x:c r="AR116" s="87"/>
      <x:c r="AS116" s="472" t="str">
        <x:f>IF($AK116="","",SUMIFS('3. 일출(의존)'!$AB$7:$AB$1989,'3. 일출(의존)'!$AN$7:$AN$1989,$AK116))</x:f>
        <x:v/>
      </x:c>
      <x:c r="AT116" s="377" t="str">
        <x:f>IF($AK116="","",COUNTIF('3. 일출(의존)'!$AN$7:$AN$1989,$AK116))</x:f>
        <x:v/>
      </x:c>
      <x:c r="AU116" s="374" t="str">
        <x:f t="shared" si="176"/>
        <x:v/>
      </x:c>
      <x:c r="AV116" s="472" t="str">
        <x:f>IF($AN116="","",IF($AO116="지역개발기금",SUMIFS('3. 일출(의존)'!$AE$8:$AE$2000,'3. 일출(의존)'!$AS$8:$AS$2000,$AN116)+SUMIFS('3. 일출(자체)'!$AE$8:$AE$2000,'3. 일출(자체)'!$AM$8:$AM$2000,$AN116),IF($AO116="지방채",SUMIFS('3. 일출(의존)'!$AD$8:$AD$2000,'3. 일출(의존)'!$AS$8:$AS$2000,$AN116)+SUMIFS('3. 일출(자체)'!$AD$8:$AD$2000,'3. 일출(자체)'!$AM$8:$AM$2000,$AN116),0)))</x:f>
        <x:v/>
      </x:c>
      <x:c r="AW116" s="377" t="str">
        <x:f>IF($AN116="","",COUNTIF('3. 일출(의존)'!$AS$8:$AS$2000,$AN116)+COUNTIF('3. 일출(자체)'!$AM$8:$AM$2000,$AN116))</x:f>
        <x:v/>
      </x:c>
      <x:c r="AX116" s="374" t="str">
        <x:f t="shared" si="177"/>
        <x:v/>
      </x:c>
      <x:c r="AY116" s="91"/>
      <x:c r="AZ116" s="472" t="str">
        <x:f>IF($AK116="","",SUMIFS('3. 일출(의존)'!$AH$8:$AH$1989,'3. 일출(의존)'!$AN$8:$AN$1989,$AK116))</x:f>
        <x:v/>
      </x:c>
      <x:c r="BA116" s="377" t="str">
        <x:f>IF($AK116="","",COUNTIF('3. 일출(의존)'!$AN$7:$AN$1989,$AK116))</x:f>
        <x:v/>
      </x:c>
      <x:c r="BB116" s="374" t="str">
        <x:f t="shared" si="178"/>
        <x:v/>
      </x:c>
      <x:c r="BC116" s="472" t="str">
        <x:f>IF($AN116="","",IF($AO116="지역개발기금",SUMIFS('3. 일출(의존)'!$AK$8:$AK$2000,'3. 일출(의존)'!$AS$8:$AS$2000,$AN116)+SUMIFS('3. 일출(자체)'!$AJ$8:$AJ$2000,'3. 일출(자체)'!$AM$8:$AM$2000,$AN116),IF($AO116="지방채",SUMIFS('3. 일출(의존)'!$AJ$8:$AJ$2000,'3. 일출(의존)'!$AS$8:$AS$2000,$AN116)+SUMIFS('3. 일출(자체)'!$AI$8:$AI$2000,'3. 일출(자체)'!$AM$8:$AM$2000,$AN116),0)))</x:f>
        <x:v/>
      </x:c>
      <x:c r="BD116" s="377" t="str">
        <x:f>IF($AN116="","",COUNTIF('3. 일출(의존)'!$AS$8:$AS$2000,$AN116)+COUNTIF('3. 일출(자체)'!$AM$8:$AM$2000,$AN116))</x:f>
        <x:v/>
      </x:c>
      <x:c r="BE116" s="374" t="str">
        <x:f t="shared" si="179"/>
        <x:v/>
      </x:c>
    </x:row>
    <x:row r="117" spans="1:57" s="20" customFormat="1" ht="80.099999999999994" customHeight="1">
      <x:c r="A117" s="155" t="str">
        <x:f>IF(D117="","",COUNTA($C$8:C117)-COUNTBLANK($C$8:C117)+7)</x:f>
        <x:v/>
      </x:c>
      <x:c r="B117" s="156" t="str">
        <x: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x:f>
        <x:v/>
      </x:c>
      <x:c r="C117" s="156" t="str">
        <x:f>IF(D117="","",IF(OR(D117="교육지원과",D117="총무과",D117="인사과"),"직접입력",VLOOKUP(D117,구분표!$A$3:$C$258,3,)))</x:f>
        <x:v/>
      </x:c>
      <x:c r="D117" s="219"/>
      <x:c r="E117" s="213"/>
      <x:c r="F117" s="388" t="str">
        <x:f t="shared" si="180"/>
        <x:v/>
      </x:c>
      <x:c r="G117" s="388" t="str">
        <x:f t="shared" si="180"/>
        <x:v/>
      </x:c>
      <x:c r="H117" s="213"/>
      <x:c r="I117" s="156" t="str">
        <x:f>IF(H117="","",VLOOKUP($H117,구분표!$O$3:$P$168,2,FALSE))</x:f>
        <x:v/>
      </x:c>
      <x:c r="J117" s="215"/>
      <x:c r="K117" s="459" t="str">
        <x:f t="shared" si="181"/>
        <x:v/>
      </x:c>
      <x:c r="L117" s="459" t="str">
        <x:f t="shared" si="182"/>
        <x:v/>
      </x:c>
      <x:c r="M117" s="461" t="str">
        <x:f t="shared" si="161"/>
        <x:v/>
      </x:c>
      <x:c r="N117" s="460"/>
      <x:c r="O117" s="461">
        <x:f t="shared" si="162"/>
        <x:v>0</x:v>
      </x:c>
      <x:c r="P117" s="462"/>
      <x:c r="Q117" s="463">
        <x:f t="shared" si="163"/>
        <x:v>0</x:v>
      </x:c>
      <x:c r="R117" s="162" t="str">
        <x:f t="shared" si="164"/>
        <x:v>X</x:v>
      </x:c>
      <x:c r="S117" s="216"/>
      <x:c r="T117" s="327"/>
      <x:c r="U117" s="217"/>
      <x:c r="V117" s="203"/>
      <x:c r="W117" s="217"/>
      <x:c r="X117" s="217"/>
      <x:c r="Y117" s="162" t="str">
        <x:f t="shared" si="165"/>
        <x:v/>
      </x:c>
      <x:c r="Z117" s="45"/>
      <x:c r="AA117" s="471" t="str">
        <x:f t="shared" si="166"/>
        <x:v/>
      </x:c>
      <x:c r="AB117" s="471" t="str">
        <x:f t="shared" si="167"/>
        <x:v/>
      </x:c>
      <x:c r="AC117" s="471" t="str">
        <x:f t="shared" si="168"/>
        <x:v/>
      </x:c>
      <x:c r="AD117" s="471" t="str">
        <x:f t="shared" si="169"/>
        <x:v/>
      </x:c>
      <x:c r="AE117" s="46"/>
      <x:c r="AF117" s="471" t="str">
        <x:f t="shared" si="170"/>
        <x:v/>
      </x:c>
      <x:c r="AG117" s="471" t="str">
        <x:f t="shared" si="171"/>
        <x:v/>
      </x:c>
      <x:c r="AH117" s="471" t="str">
        <x:f t="shared" si="172"/>
        <x:v/>
      </x:c>
      <x:c r="AI117" s="471" t="str">
        <x:f t="shared" si="173"/>
        <x:v/>
      </x:c>
      <x:c r="AJ117" s="87"/>
      <x:c r="AK117" s="374" t="str">
        <x:f>IF($AQ117="","",IF(OR($AL117="",$AL117="도비"),"",CONCATENATE($AQ117,"-",COUNTIF($AQ$8:$AQ117,$AQ117))))</x:f>
        <x:v/>
      </x:c>
      <x:c r="AL117" s="374" t="str">
        <x:f t="shared" si="174"/>
        <x:v/>
      </x:c>
      <x:c r="AM117" s="87"/>
      <x:c r="AN117" s="375" t="str">
        <x:f>IF($AQ117="","",IF(OR($AO117="",$AO117="국비",$AO117="자체"),"",CONCATENATE($AQ117,"-",$AO117,"-",COUNTIF($AQ$8:$AQ117,$AQ117))))</x:f>
        <x:v/>
      </x:c>
      <x:c r="AO117" s="375" t="str">
        <x:f t="shared" si="175"/>
        <x:v/>
      </x:c>
      <x:c r="AP117" s="87"/>
      <x:c r="AQ117" s="374" t="str">
        <x:f t="array" ref="AQ117:AQ117">IF(OR($D117="",$C117="직접입력",$B117="직접입력"),"",INDEX(구분표!$I$2:$I$337,MATCH(1,(구분표!$G$2:$G$337='3. 일입'!$B117)*(구분표!$E$2:$E$337='3. 일입'!$C117)*(구분표!$F$2:$F$337='3. 일입'!$D117),0)))</x:f>
        <x:v/>
      </x:c>
      <x:c r="AR117" s="87"/>
      <x:c r="AS117" s="472" t="str">
        <x:f>IF($AK117="","",SUMIFS('3. 일출(의존)'!$AB$7:$AB$1989,'3. 일출(의존)'!$AN$7:$AN$1989,$AK117))</x:f>
        <x:v/>
      </x:c>
      <x:c r="AT117" s="377" t="str">
        <x:f>IF($AK117="","",COUNTIF('3. 일출(의존)'!$AN$7:$AN$1989,$AK117))</x:f>
        <x:v/>
      </x:c>
      <x:c r="AU117" s="374" t="str">
        <x:f t="shared" si="176"/>
        <x:v/>
      </x:c>
      <x:c r="AV117" s="472" t="str">
        <x:f>IF($AN117="","",IF($AO117="지역개발기금",SUMIFS('3. 일출(의존)'!$AE$8:$AE$2000,'3. 일출(의존)'!$AS$8:$AS$2000,$AN117)+SUMIFS('3. 일출(자체)'!$AE$8:$AE$2000,'3. 일출(자체)'!$AM$8:$AM$2000,$AN117),IF($AO117="지방채",SUMIFS('3. 일출(의존)'!$AD$8:$AD$2000,'3. 일출(의존)'!$AS$8:$AS$2000,$AN117)+SUMIFS('3. 일출(자체)'!$AD$8:$AD$2000,'3. 일출(자체)'!$AM$8:$AM$2000,$AN117),0)))</x:f>
        <x:v/>
      </x:c>
      <x:c r="AW117" s="377" t="str">
        <x:f>IF($AN117="","",COUNTIF('3. 일출(의존)'!$AS$8:$AS$2000,$AN117)+COUNTIF('3. 일출(자체)'!$AM$8:$AM$2000,$AN117))</x:f>
        <x:v/>
      </x:c>
      <x:c r="AX117" s="374" t="str">
        <x:f t="shared" si="177"/>
        <x:v/>
      </x:c>
      <x:c r="AY117" s="91"/>
      <x:c r="AZ117" s="472" t="str">
        <x:f>IF($AK117="","",SUMIFS('3. 일출(의존)'!$AH$8:$AH$1989,'3. 일출(의존)'!$AN$8:$AN$1989,$AK117))</x:f>
        <x:v/>
      </x:c>
      <x:c r="BA117" s="377" t="str">
        <x:f>IF($AK117="","",COUNTIF('3. 일출(의존)'!$AN$7:$AN$1989,$AK117))</x:f>
        <x:v/>
      </x:c>
      <x:c r="BB117" s="374" t="str">
        <x:f t="shared" si="178"/>
        <x:v/>
      </x:c>
      <x:c r="BC117" s="472" t="str">
        <x:f>IF($AN117="","",IF($AO117="지역개발기금",SUMIFS('3. 일출(의존)'!$AK$8:$AK$2000,'3. 일출(의존)'!$AS$8:$AS$2000,$AN117)+SUMIFS('3. 일출(자체)'!$AJ$8:$AJ$2000,'3. 일출(자체)'!$AM$8:$AM$2000,$AN117),IF($AO117="지방채",SUMIFS('3. 일출(의존)'!$AJ$8:$AJ$2000,'3. 일출(의존)'!$AS$8:$AS$2000,$AN117)+SUMIFS('3. 일출(자체)'!$AI$8:$AI$2000,'3. 일출(자체)'!$AM$8:$AM$2000,$AN117),0)))</x:f>
        <x:v/>
      </x:c>
      <x:c r="BD117" s="377" t="str">
        <x:f>IF($AN117="","",COUNTIF('3. 일출(의존)'!$AS$8:$AS$2000,$AN117)+COUNTIF('3. 일출(자체)'!$AM$8:$AM$2000,$AN117))</x:f>
        <x:v/>
      </x:c>
      <x:c r="BE117" s="374" t="str">
        <x:f t="shared" si="179"/>
        <x:v/>
      </x:c>
    </x:row>
    <x:row r="118" spans="1:57" s="20" customFormat="1" ht="80.099999999999994" customHeight="1">
      <x:c r="A118" s="155" t="str">
        <x:f>IF(D118="","",COUNTA($C$8:C118)-COUNTBLANK($C$8:C118)+7)</x:f>
        <x:v/>
      </x:c>
      <x:c r="B118" s="156" t="str">
        <x: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x:f>
        <x:v/>
      </x:c>
      <x:c r="C118" s="156" t="str">
        <x:f>IF(D118="","",IF(OR(D118="교육지원과",D118="총무과",D118="인사과"),"직접입력",VLOOKUP(D118,구분표!$A$3:$C$258,3,)))</x:f>
        <x:v/>
      </x:c>
      <x:c r="D118" s="219"/>
      <x:c r="E118" s="213"/>
      <x:c r="F118" s="388" t="str">
        <x:f t="shared" si="180"/>
        <x:v/>
      </x:c>
      <x:c r="G118" s="388" t="str">
        <x:f t="shared" si="180"/>
        <x:v/>
      </x:c>
      <x:c r="H118" s="213"/>
      <x:c r="I118" s="156" t="str">
        <x:f>IF(H118="","",VLOOKUP($H118,구분표!$O$3:$P$168,2,FALSE))</x:f>
        <x:v/>
      </x:c>
      <x:c r="J118" s="215"/>
      <x:c r="K118" s="459" t="str">
        <x:f t="shared" si="181"/>
        <x:v/>
      </x:c>
      <x:c r="L118" s="459" t="str">
        <x:f t="shared" si="182"/>
        <x:v/>
      </x:c>
      <x:c r="M118" s="461" t="str">
        <x:f t="shared" si="161"/>
        <x:v/>
      </x:c>
      <x:c r="N118" s="460"/>
      <x:c r="O118" s="461">
        <x:f t="shared" si="162"/>
        <x:v>0</x:v>
      </x:c>
      <x:c r="P118" s="462"/>
      <x:c r="Q118" s="463">
        <x:f t="shared" si="163"/>
        <x:v>0</x:v>
      </x:c>
      <x:c r="R118" s="162" t="str">
        <x:f t="shared" si="164"/>
        <x:v>X</x:v>
      </x:c>
      <x:c r="S118" s="216"/>
      <x:c r="T118" s="327"/>
      <x:c r="U118" s="217"/>
      <x:c r="V118" s="203"/>
      <x:c r="W118" s="217"/>
      <x:c r="X118" s="217"/>
      <x:c r="Y118" s="162" t="str">
        <x:f t="shared" si="165"/>
        <x:v/>
      </x:c>
      <x:c r="Z118" s="45"/>
      <x:c r="AA118" s="471" t="str">
        <x:f t="shared" si="166"/>
        <x:v/>
      </x:c>
      <x:c r="AB118" s="471" t="str">
        <x:f t="shared" si="167"/>
        <x:v/>
      </x:c>
      <x:c r="AC118" s="471" t="str">
        <x:f t="shared" si="168"/>
        <x:v/>
      </x:c>
      <x:c r="AD118" s="471" t="str">
        <x:f t="shared" si="169"/>
        <x:v/>
      </x:c>
      <x:c r="AE118" s="46"/>
      <x:c r="AF118" s="471" t="str">
        <x:f t="shared" si="170"/>
        <x:v/>
      </x:c>
      <x:c r="AG118" s="471" t="str">
        <x:f t="shared" si="171"/>
        <x:v/>
      </x:c>
      <x:c r="AH118" s="471" t="str">
        <x:f t="shared" si="172"/>
        <x:v/>
      </x:c>
      <x:c r="AI118" s="471" t="str">
        <x:f t="shared" si="173"/>
        <x:v/>
      </x:c>
      <x:c r="AJ118" s="87"/>
      <x:c r="AK118" s="374" t="str">
        <x:f>IF($AQ118="","",IF(OR($AL118="",$AL118="도비"),"",CONCATENATE($AQ118,"-",COUNTIF($AQ$8:$AQ118,$AQ118))))</x:f>
        <x:v/>
      </x:c>
      <x:c r="AL118" s="374" t="str">
        <x:f t="shared" si="174"/>
        <x:v/>
      </x:c>
      <x:c r="AM118" s="87"/>
      <x:c r="AN118" s="375" t="str">
        <x:f>IF($AQ118="","",IF(OR($AO118="",$AO118="국비",$AO118="자체"),"",CONCATENATE($AQ118,"-",$AO118,"-",COUNTIF($AQ$8:$AQ118,$AQ118))))</x:f>
        <x:v/>
      </x:c>
      <x:c r="AO118" s="375" t="str">
        <x:f t="shared" si="175"/>
        <x:v/>
      </x:c>
      <x:c r="AP118" s="87"/>
      <x:c r="AQ118" s="374" t="str">
        <x:f t="array" ref="AQ118:AQ118">IF(OR($D118="",$C118="직접입력",$B118="직접입력"),"",INDEX(구분표!$I$2:$I$337,MATCH(1,(구분표!$G$2:$G$337='3. 일입'!$B118)*(구분표!$E$2:$E$337='3. 일입'!$C118)*(구분표!$F$2:$F$337='3. 일입'!$D118),0)))</x:f>
        <x:v/>
      </x:c>
      <x:c r="AR118" s="87"/>
      <x:c r="AS118" s="472" t="str">
        <x:f>IF($AK118="","",SUMIFS('3. 일출(의존)'!$AB$7:$AB$1989,'3. 일출(의존)'!$AN$7:$AN$1989,$AK118))</x:f>
        <x:v/>
      </x:c>
      <x:c r="AT118" s="377" t="str">
        <x:f>IF($AK118="","",COUNTIF('3. 일출(의존)'!$AN$7:$AN$1989,$AK118))</x:f>
        <x:v/>
      </x:c>
      <x:c r="AU118" s="374" t="str">
        <x:f t="shared" si="176"/>
        <x:v/>
      </x:c>
      <x:c r="AV118" s="472" t="str">
        <x:f>IF($AN118="","",IF($AO118="지역개발기금",SUMIFS('3. 일출(의존)'!$AE$8:$AE$2000,'3. 일출(의존)'!$AS$8:$AS$2000,$AN118)+SUMIFS('3. 일출(자체)'!$AE$8:$AE$2000,'3. 일출(자체)'!$AM$8:$AM$2000,$AN118),IF($AO118="지방채",SUMIFS('3. 일출(의존)'!$AD$8:$AD$2000,'3. 일출(의존)'!$AS$8:$AS$2000,$AN118)+SUMIFS('3. 일출(자체)'!$AD$8:$AD$2000,'3. 일출(자체)'!$AM$8:$AM$2000,$AN118),0)))</x:f>
        <x:v/>
      </x:c>
      <x:c r="AW118" s="377" t="str">
        <x:f>IF($AN118="","",COUNTIF('3. 일출(의존)'!$AS$8:$AS$2000,$AN118)+COUNTIF('3. 일출(자체)'!$AM$8:$AM$2000,$AN118))</x:f>
        <x:v/>
      </x:c>
      <x:c r="AX118" s="374" t="str">
        <x:f t="shared" si="177"/>
        <x:v/>
      </x:c>
      <x:c r="AY118" s="91"/>
      <x:c r="AZ118" s="472" t="str">
        <x:f>IF($AK118="","",SUMIFS('3. 일출(의존)'!$AH$8:$AH$1989,'3. 일출(의존)'!$AN$8:$AN$1989,$AK118))</x:f>
        <x:v/>
      </x:c>
      <x:c r="BA118" s="377" t="str">
        <x:f>IF($AK118="","",COUNTIF('3. 일출(의존)'!$AN$7:$AN$1989,$AK118))</x:f>
        <x:v/>
      </x:c>
      <x:c r="BB118" s="374" t="str">
        <x:f t="shared" si="178"/>
        <x:v/>
      </x:c>
      <x:c r="BC118" s="472" t="str">
        <x:f>IF($AN118="","",IF($AO118="지역개발기금",SUMIFS('3. 일출(의존)'!$AK$8:$AK$2000,'3. 일출(의존)'!$AS$8:$AS$2000,$AN118)+SUMIFS('3. 일출(자체)'!$AJ$8:$AJ$2000,'3. 일출(자체)'!$AM$8:$AM$2000,$AN118),IF($AO118="지방채",SUMIFS('3. 일출(의존)'!$AJ$8:$AJ$2000,'3. 일출(의존)'!$AS$8:$AS$2000,$AN118)+SUMIFS('3. 일출(자체)'!$AI$8:$AI$2000,'3. 일출(자체)'!$AM$8:$AM$2000,$AN118),0)))</x:f>
        <x:v/>
      </x:c>
      <x:c r="BD118" s="377" t="str">
        <x:f>IF($AN118="","",COUNTIF('3. 일출(의존)'!$AS$8:$AS$2000,$AN118)+COUNTIF('3. 일출(자체)'!$AM$8:$AM$2000,$AN118))</x:f>
        <x:v/>
      </x:c>
      <x:c r="BE118" s="374" t="str">
        <x:f t="shared" si="179"/>
        <x:v/>
      </x:c>
    </x:row>
    <x:row r="119" spans="1:57" s="20" customFormat="1" ht="80.099999999999994" customHeight="1">
      <x:c r="A119" s="155" t="str">
        <x:f>IF(D119="","",COUNTA($C$8:C119)-COUNTBLANK($C$8:C119)+7)</x:f>
        <x:v/>
      </x:c>
      <x:c r="B119" s="156" t="str">
        <x:f>IF(D119="","",IF(OR(C119="직접입력",D119="북부지원"),"직접입력",IF(OR(AND(D119="인사과",C119="의회사무처"),AND(D119="총무과",C119="의회사무처")),"의회운영위원회",IF(OR(C119="직접입력",D119="북부지원"),"직접입력",IF(OR(AND(D119="인사과",C119="자치행정국"),AND(D119="총무과",C119="자치행정국")),"안전행정위원회",VLOOKUP(D119,구분표!$A$3:$C$258,2,))))))</x:f>
        <x:v/>
      </x:c>
      <x:c r="C119" s="156" t="str">
        <x:f>IF(D119="","",IF(OR(D119="교육지원과",D119="총무과",D119="인사과"),"직접입력",VLOOKUP(D119,구분표!$A$3:$C$258,3,)))</x:f>
        <x:v/>
      </x:c>
      <x:c r="D119" s="219"/>
      <x:c r="E119" s="213"/>
      <x:c r="F119" s="388" t="str">
        <x:f t="shared" si="180"/>
        <x:v/>
      </x:c>
      <x:c r="G119" s="388" t="str">
        <x:f t="shared" si="180"/>
        <x:v/>
      </x:c>
      <x:c r="H119" s="213"/>
      <x:c r="I119" s="156" t="str">
        <x:f>IF(H119="","",VLOOKUP($H119,구분표!$O$3:$P$168,2,FALSE))</x:f>
        <x:v/>
      </x:c>
      <x:c r="J119" s="215"/>
      <x:c r="K119" s="459" t="str">
        <x:f t="shared" si="181"/>
        <x:v/>
      </x:c>
      <x:c r="L119" s="459" t="str">
        <x:f t="shared" si="182"/>
        <x:v/>
      </x:c>
      <x:c r="M119" s="461" t="str">
        <x:f t="shared" si="161"/>
        <x:v/>
      </x:c>
      <x:c r="N119" s="460"/>
      <x:c r="O119" s="461">
        <x:f t="shared" si="162"/>
        <x:v>0</x:v>
      </x:c>
      <x:c r="P119" s="462"/>
      <x:c r="Q119" s="463">
        <x:f t="shared" si="163"/>
        <x:v>0</x:v>
      </x:c>
      <x:c r="R119" s="162" t="str">
        <x:f t="shared" si="164"/>
        <x:v>X</x:v>
      </x:c>
      <x:c r="S119" s="216"/>
      <x:c r="T119" s="327"/>
      <x:c r="U119" s="217"/>
      <x:c r="V119" s="203"/>
      <x:c r="W119" s="217"/>
      <x:c r="X119" s="217"/>
      <x:c r="Y119" s="162" t="str">
        <x:f t="shared" si="165"/>
        <x:v/>
      </x:c>
      <x:c r="Z119" s="45"/>
      <x:c r="AA119" s="471" t="str">
        <x:f t="shared" si="166"/>
        <x:v/>
      </x:c>
      <x:c r="AB119" s="471" t="str">
        <x:f t="shared" si="167"/>
        <x:v/>
      </x:c>
      <x:c r="AC119" s="471" t="str">
        <x:f t="shared" si="168"/>
        <x:v/>
      </x:c>
      <x:c r="AD119" s="471" t="str">
        <x:f t="shared" si="169"/>
        <x:v/>
      </x:c>
      <x:c r="AE119" s="46"/>
      <x:c r="AF119" s="471" t="str">
        <x:f t="shared" si="170"/>
        <x:v/>
      </x:c>
      <x:c r="AG119" s="471" t="str">
        <x:f t="shared" si="171"/>
        <x:v/>
      </x:c>
      <x:c r="AH119" s="471" t="str">
        <x:f t="shared" si="172"/>
        <x:v/>
      </x:c>
      <x:c r="AI119" s="471" t="str">
        <x:f t="shared" si="173"/>
        <x:v/>
      </x:c>
      <x:c r="AJ119" s="87"/>
      <x:c r="AK119" s="374" t="str">
        <x:f>IF($AQ119="","",IF(OR($AL119="",$AL119="도비"),"",CONCATENATE($AQ119,"-",COUNTIF($AQ$8:$AQ119,$AQ119))))</x:f>
        <x:v/>
      </x:c>
      <x:c r="AL119" s="374" t="str">
        <x:f t="shared" si="174"/>
        <x:v/>
      </x:c>
      <x:c r="AM119" s="87"/>
      <x:c r="AN119" s="375" t="str">
        <x:f>IF($AQ119="","",IF(OR($AO119="",$AO119="국비",$AO119="자체"),"",CONCATENATE($AQ119,"-",$AO119,"-",COUNTIF($AQ$8:$AQ119,$AQ119))))</x:f>
        <x:v/>
      </x:c>
      <x:c r="AO119" s="375" t="str">
        <x:f t="shared" si="175"/>
        <x:v/>
      </x:c>
      <x:c r="AP119" s="87"/>
      <x:c r="AQ119" s="374" t="str">
        <x:f t="array" ref="AQ119:AQ119">IF(OR($D119="",$C119="직접입력",$B119="직접입력"),"",INDEX(구분표!$I$2:$I$337,MATCH(1,(구분표!$G$2:$G$337='3. 일입'!$B119)*(구분표!$E$2:$E$337='3. 일입'!$C119)*(구분표!$F$2:$F$337='3. 일입'!$D119),0)))</x:f>
        <x:v/>
      </x:c>
      <x:c r="AR119" s="87"/>
      <x:c r="AS119" s="472" t="str">
        <x:f>IF($AK119="","",SUMIFS('3. 일출(의존)'!$AB$7:$AB$1989,'3. 일출(의존)'!$AN$7:$AN$1989,$AK119))</x:f>
        <x:v/>
      </x:c>
      <x:c r="AT119" s="377" t="str">
        <x:f>IF($AK119="","",COUNTIF('3. 일출(의존)'!$AN$7:$AN$1989,$AK119))</x:f>
        <x:v/>
      </x:c>
      <x:c r="AU119" s="374" t="str">
        <x:f t="shared" si="176"/>
        <x:v/>
      </x:c>
      <x:c r="AV119" s="472" t="str">
        <x:f>IF($AN119="","",IF($AO119="지역개발기금",SUMIFS('3. 일출(의존)'!$AE$8:$AE$2000,'3. 일출(의존)'!$AS$8:$AS$2000,$AN119)+SUMIFS('3. 일출(자체)'!$AE$8:$AE$2000,'3. 일출(자체)'!$AM$8:$AM$2000,$AN119),IF($AO119="지방채",SUMIFS('3. 일출(의존)'!$AD$8:$AD$2000,'3. 일출(의존)'!$AS$8:$AS$2000,$AN119)+SUMIFS('3. 일출(자체)'!$AD$8:$AD$2000,'3. 일출(자체)'!$AM$8:$AM$2000,$AN119),0)))</x:f>
        <x:v/>
      </x:c>
      <x:c r="AW119" s="377" t="str">
        <x:f>IF($AN119="","",COUNTIF('3. 일출(의존)'!$AS$8:$AS$2000,$AN119)+COUNTIF('3. 일출(자체)'!$AM$8:$AM$2000,$AN119))</x:f>
        <x:v/>
      </x:c>
      <x:c r="AX119" s="374" t="str">
        <x:f t="shared" si="177"/>
        <x:v/>
      </x:c>
      <x:c r="AY119" s="91"/>
      <x:c r="AZ119" s="472" t="str">
        <x:f>IF($AK119="","",SUMIFS('3. 일출(의존)'!$AH$8:$AH$1989,'3. 일출(의존)'!$AN$8:$AN$1989,$AK119))</x:f>
        <x:v/>
      </x:c>
      <x:c r="BA119" s="377" t="str">
        <x:f>IF($AK119="","",COUNTIF('3. 일출(의존)'!$AN$7:$AN$1989,$AK119))</x:f>
        <x:v/>
      </x:c>
      <x:c r="BB119" s="374" t="str">
        <x:f t="shared" si="178"/>
        <x:v/>
      </x:c>
      <x:c r="BC119" s="472" t="str">
        <x:f>IF($AN119="","",IF($AO119="지역개발기금",SUMIFS('3. 일출(의존)'!$AK$8:$AK$2000,'3. 일출(의존)'!$AS$8:$AS$2000,$AN119)+SUMIFS('3. 일출(자체)'!$AJ$8:$AJ$2000,'3. 일출(자체)'!$AM$8:$AM$2000,$AN119),IF($AO119="지방채",SUMIFS('3. 일출(의존)'!$AJ$8:$AJ$2000,'3. 일출(의존)'!$AS$8:$AS$2000,$AN119)+SUMIFS('3. 일출(자체)'!$AI$8:$AI$2000,'3. 일출(자체)'!$AM$8:$AM$2000,$AN119),0)))</x:f>
        <x:v/>
      </x:c>
      <x:c r="BD119" s="377" t="str">
        <x:f>IF($AN119="","",COUNTIF('3. 일출(의존)'!$AS$8:$AS$2000,$AN119)+COUNTIF('3. 일출(자체)'!$AM$8:$AM$2000,$AN119))</x:f>
        <x:v/>
      </x:c>
      <x:c r="BE119" s="374" t="str">
        <x:f t="shared" si="179"/>
        <x:v/>
      </x:c>
    </x:row>
    <x:row r="120" spans="1:57" s="20" customFormat="1" ht="80.099999999999994" customHeight="1">
      <x:c r="A120" s="155" t="str">
        <x:f>IF(D120="","",COUNTA($C$8:C120)-COUNTBLANK($C$8:C120)+7)</x:f>
        <x:v/>
      </x:c>
      <x:c r="B120" s="156" t="str">
        <x: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x:f>
        <x:v/>
      </x:c>
      <x:c r="C120" s="156" t="str">
        <x:f>IF(D120="","",IF(OR(D120="교육지원과",D120="총무과",D120="인사과"),"직접입력",VLOOKUP(D120,구분표!$A$3:$C$258,3,)))</x:f>
        <x:v/>
      </x:c>
      <x:c r="D120" s="219"/>
      <x:c r="E120" s="213"/>
      <x:c r="F120" s="388" t="str">
        <x:f t="shared" si="180"/>
        <x:v/>
      </x:c>
      <x:c r="G120" s="388" t="str">
        <x:f t="shared" si="180"/>
        <x:v/>
      </x:c>
      <x:c r="H120" s="213"/>
      <x:c r="I120" s="156" t="str">
        <x:f>IF(H120="","",VLOOKUP($H120,구분표!$O$3:$P$168,2,FALSE))</x:f>
        <x:v/>
      </x:c>
      <x:c r="J120" s="215"/>
      <x:c r="K120" s="459" t="str">
        <x:f t="shared" si="181"/>
        <x:v/>
      </x:c>
      <x:c r="L120" s="459" t="str">
        <x:f t="shared" si="182"/>
        <x:v/>
      </x:c>
      <x:c r="M120" s="461" t="str">
        <x:f t="shared" si="161"/>
        <x:v/>
      </x:c>
      <x:c r="N120" s="460"/>
      <x:c r="O120" s="461">
        <x:f t="shared" si="162"/>
        <x:v>0</x:v>
      </x:c>
      <x:c r="P120" s="462"/>
      <x:c r="Q120" s="463">
        <x:f t="shared" si="163"/>
        <x:v>0</x:v>
      </x:c>
      <x:c r="R120" s="162" t="str">
        <x:f t="shared" si="164"/>
        <x:v>X</x:v>
      </x:c>
      <x:c r="S120" s="216"/>
      <x:c r="T120" s="327"/>
      <x:c r="U120" s="217"/>
      <x:c r="V120" s="203"/>
      <x:c r="W120" s="217"/>
      <x:c r="X120" s="217"/>
      <x:c r="Y120" s="162" t="str">
        <x:f t="shared" si="165"/>
        <x:v/>
      </x:c>
      <x:c r="Z120" s="45"/>
      <x:c r="AA120" s="471" t="str">
        <x:f t="shared" si="166"/>
        <x:v/>
      </x:c>
      <x:c r="AB120" s="471" t="str">
        <x:f t="shared" si="167"/>
        <x:v/>
      </x:c>
      <x:c r="AC120" s="471" t="str">
        <x:f t="shared" si="168"/>
        <x:v/>
      </x:c>
      <x:c r="AD120" s="471" t="str">
        <x:f t="shared" si="169"/>
        <x:v/>
      </x:c>
      <x:c r="AE120" s="46"/>
      <x:c r="AF120" s="471" t="str">
        <x:f t="shared" si="170"/>
        <x:v/>
      </x:c>
      <x:c r="AG120" s="471" t="str">
        <x:f t="shared" si="171"/>
        <x:v/>
      </x:c>
      <x:c r="AH120" s="471" t="str">
        <x:f t="shared" si="172"/>
        <x:v/>
      </x:c>
      <x:c r="AI120" s="471" t="str">
        <x:f t="shared" si="173"/>
        <x:v/>
      </x:c>
      <x:c r="AJ120" s="87"/>
      <x:c r="AK120" s="374" t="str">
        <x:f>IF($AQ120="","",IF(OR($AL120="",$AL120="도비"),"",CONCATENATE($AQ120,"-",COUNTIF($AQ$8:$AQ120,$AQ120))))</x:f>
        <x:v/>
      </x:c>
      <x:c r="AL120" s="374" t="str">
        <x:f t="shared" si="174"/>
        <x:v/>
      </x:c>
      <x:c r="AM120" s="87"/>
      <x:c r="AN120" s="375" t="str">
        <x:f>IF($AQ120="","",IF(OR($AO120="",$AO120="국비",$AO120="자체"),"",CONCATENATE($AQ120,"-",$AO120,"-",COUNTIF($AQ$8:$AQ120,$AQ120))))</x:f>
        <x:v/>
      </x:c>
      <x:c r="AO120" s="375" t="str">
        <x:f t="shared" si="175"/>
        <x:v/>
      </x:c>
      <x:c r="AP120" s="87"/>
      <x:c r="AQ120" s="374" t="str">
        <x:f t="array" ref="AQ120:AQ120">IF(OR($D120="",$C120="직접입력",$B120="직접입력"),"",INDEX(구분표!$I$2:$I$337,MATCH(1,(구분표!$G$2:$G$337='3. 일입'!$B120)*(구분표!$E$2:$E$337='3. 일입'!$C120)*(구분표!$F$2:$F$337='3. 일입'!$D120),0)))</x:f>
        <x:v/>
      </x:c>
      <x:c r="AR120" s="87"/>
      <x:c r="AS120" s="472" t="str">
        <x:f>IF($AK120="","",SUMIFS('3. 일출(의존)'!$AB$7:$AB$1989,'3. 일출(의존)'!$AN$7:$AN$1989,$AK120))</x:f>
        <x:v/>
      </x:c>
      <x:c r="AT120" s="377" t="str">
        <x:f>IF($AK120="","",COUNTIF('3. 일출(의존)'!$AN$7:$AN$1989,$AK120))</x:f>
        <x:v/>
      </x:c>
      <x:c r="AU120" s="374" t="str">
        <x:f t="shared" si="176"/>
        <x:v/>
      </x:c>
      <x:c r="AV120" s="472" t="str">
        <x:f>IF($AN120="","",IF($AO120="지역개발기금",SUMIFS('3. 일출(의존)'!$AE$8:$AE$2000,'3. 일출(의존)'!$AS$8:$AS$2000,$AN120)+SUMIFS('3. 일출(자체)'!$AE$8:$AE$2000,'3. 일출(자체)'!$AM$8:$AM$2000,$AN120),IF($AO120="지방채",SUMIFS('3. 일출(의존)'!$AD$8:$AD$2000,'3. 일출(의존)'!$AS$8:$AS$2000,$AN120)+SUMIFS('3. 일출(자체)'!$AD$8:$AD$2000,'3. 일출(자체)'!$AM$8:$AM$2000,$AN120),0)))</x:f>
        <x:v/>
      </x:c>
      <x:c r="AW120" s="377" t="str">
        <x:f>IF($AN120="","",COUNTIF('3. 일출(의존)'!$AS$8:$AS$2000,$AN120)+COUNTIF('3. 일출(자체)'!$AM$8:$AM$2000,$AN120))</x:f>
        <x:v/>
      </x:c>
      <x:c r="AX120" s="374" t="str">
        <x:f t="shared" si="177"/>
        <x:v/>
      </x:c>
      <x:c r="AY120" s="91"/>
      <x:c r="AZ120" s="472" t="str">
        <x:f>IF($AK120="","",SUMIFS('3. 일출(의존)'!$AH$8:$AH$1989,'3. 일출(의존)'!$AN$8:$AN$1989,$AK120))</x:f>
        <x:v/>
      </x:c>
      <x:c r="BA120" s="377" t="str">
        <x:f>IF($AK120="","",COUNTIF('3. 일출(의존)'!$AN$7:$AN$1989,$AK120))</x:f>
        <x:v/>
      </x:c>
      <x:c r="BB120" s="374" t="str">
        <x:f t="shared" si="178"/>
        <x:v/>
      </x:c>
      <x:c r="BC120" s="472" t="str">
        <x:f>IF($AN120="","",IF($AO120="지역개발기금",SUMIFS('3. 일출(의존)'!$AK$8:$AK$2000,'3. 일출(의존)'!$AS$8:$AS$2000,$AN120)+SUMIFS('3. 일출(자체)'!$AJ$8:$AJ$2000,'3. 일출(자체)'!$AM$8:$AM$2000,$AN120),IF($AO120="지방채",SUMIFS('3. 일출(의존)'!$AJ$8:$AJ$2000,'3. 일출(의존)'!$AS$8:$AS$2000,$AN120)+SUMIFS('3. 일출(자체)'!$AI$8:$AI$2000,'3. 일출(자체)'!$AM$8:$AM$2000,$AN120),0)))</x:f>
        <x:v/>
      </x:c>
      <x:c r="BD120" s="377" t="str">
        <x:f>IF($AN120="","",COUNTIF('3. 일출(의존)'!$AS$8:$AS$2000,$AN120)+COUNTIF('3. 일출(자체)'!$AM$8:$AM$2000,$AN120))</x:f>
        <x:v/>
      </x:c>
      <x:c r="BE120" s="374" t="str">
        <x:f t="shared" si="179"/>
        <x:v/>
      </x:c>
    </x:row>
    <x:row r="121" spans="1:57" s="20" customFormat="1" ht="80.099999999999994" customHeight="1">
      <x:c r="A121" s="155" t="str">
        <x:f>IF(D121="","",COUNTA($C$8:C121)-COUNTBLANK($C$8:C121)+7)</x:f>
        <x:v/>
      </x:c>
      <x:c r="B121" s="156" t="str">
        <x: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x:f>
        <x:v/>
      </x:c>
      <x:c r="C121" s="156" t="str">
        <x:f>IF(D121="","",IF(OR(D121="교육지원과",D121="총무과",D121="인사과"),"직접입력",VLOOKUP(D121,구분표!$A$3:$C$258,3,)))</x:f>
        <x:v/>
      </x:c>
      <x:c r="D121" s="219"/>
      <x:c r="E121" s="213"/>
      <x:c r="F121" s="388" t="str">
        <x:f t="shared" si="180"/>
        <x:v/>
      </x:c>
      <x:c r="G121" s="388" t="str">
        <x:f t="shared" si="180"/>
        <x:v/>
      </x:c>
      <x:c r="H121" s="213"/>
      <x:c r="I121" s="156" t="str">
        <x:f>IF(H121="","",VLOOKUP($H121,구분표!$O$3:$P$168,2,FALSE))</x:f>
        <x:v/>
      </x:c>
      <x:c r="J121" s="215"/>
      <x:c r="K121" s="459" t="str">
        <x:f t="shared" si="181"/>
        <x:v/>
      </x:c>
      <x:c r="L121" s="459" t="str">
        <x:f t="shared" si="182"/>
        <x:v/>
      </x:c>
      <x:c r="M121" s="461" t="str">
        <x:f t="shared" si="161"/>
        <x:v/>
      </x:c>
      <x:c r="N121" s="460"/>
      <x:c r="O121" s="461">
        <x:f t="shared" si="162"/>
        <x:v>0</x:v>
      </x:c>
      <x:c r="P121" s="462"/>
      <x:c r="Q121" s="463">
        <x:f t="shared" si="163"/>
        <x:v>0</x:v>
      </x:c>
      <x:c r="R121" s="162" t="str">
        <x:f t="shared" si="164"/>
        <x:v>X</x:v>
      </x:c>
      <x:c r="S121" s="216"/>
      <x:c r="T121" s="327"/>
      <x:c r="U121" s="217"/>
      <x:c r="V121" s="203"/>
      <x:c r="W121" s="217"/>
      <x:c r="X121" s="217"/>
      <x:c r="Y121" s="162" t="str">
        <x:f t="shared" si="165"/>
        <x:v/>
      </x:c>
      <x:c r="Z121" s="45"/>
      <x:c r="AA121" s="471" t="str">
        <x:f t="shared" si="166"/>
        <x:v/>
      </x:c>
      <x:c r="AB121" s="471" t="str">
        <x:f t="shared" si="167"/>
        <x:v/>
      </x:c>
      <x:c r="AC121" s="471" t="str">
        <x:f t="shared" si="168"/>
        <x:v/>
      </x:c>
      <x:c r="AD121" s="471" t="str">
        <x:f t="shared" si="169"/>
        <x:v/>
      </x:c>
      <x:c r="AE121" s="46"/>
      <x:c r="AF121" s="471" t="str">
        <x:f t="shared" si="170"/>
        <x:v/>
      </x:c>
      <x:c r="AG121" s="471" t="str">
        <x:f t="shared" si="171"/>
        <x:v/>
      </x:c>
      <x:c r="AH121" s="471" t="str">
        <x:f t="shared" si="172"/>
        <x:v/>
      </x:c>
      <x:c r="AI121" s="471" t="str">
        <x:f t="shared" si="173"/>
        <x:v/>
      </x:c>
      <x:c r="AJ121" s="87"/>
      <x:c r="AK121" s="374" t="str">
        <x:f>IF($AQ121="","",IF(OR($AL121="",$AL121="도비"),"",CONCATENATE($AQ121,"-",COUNTIF($AQ$8:$AQ121,$AQ121))))</x:f>
        <x:v/>
      </x:c>
      <x:c r="AL121" s="374" t="str">
        <x:f t="shared" si="174"/>
        <x:v/>
      </x:c>
      <x:c r="AM121" s="87"/>
      <x:c r="AN121" s="375" t="str">
        <x:f>IF($AQ121="","",IF(OR($AO121="",$AO121="국비",$AO121="자체"),"",CONCATENATE($AQ121,"-",$AO121,"-",COUNTIF($AQ$8:$AQ121,$AQ121))))</x:f>
        <x:v/>
      </x:c>
      <x:c r="AO121" s="375" t="str">
        <x:f t="shared" si="175"/>
        <x:v/>
      </x:c>
      <x:c r="AP121" s="87"/>
      <x:c r="AQ121" s="374" t="str">
        <x:f t="array" ref="AQ121:AQ121">IF(OR($D121="",$C121="직접입력",$B121="직접입력"),"",INDEX(구분표!$I$2:$I$337,MATCH(1,(구분표!$G$2:$G$337='3. 일입'!$B121)*(구분표!$E$2:$E$337='3. 일입'!$C121)*(구분표!$F$2:$F$337='3. 일입'!$D121),0)))</x:f>
        <x:v/>
      </x:c>
      <x:c r="AR121" s="87"/>
      <x:c r="AS121" s="472" t="str">
        <x:f>IF($AK121="","",SUMIFS('3. 일출(의존)'!$AB$7:$AB$1989,'3. 일출(의존)'!$AN$7:$AN$1989,$AK121))</x:f>
        <x:v/>
      </x:c>
      <x:c r="AT121" s="377" t="str">
        <x:f>IF($AK121="","",COUNTIF('3. 일출(의존)'!$AN$7:$AN$1989,$AK121))</x:f>
        <x:v/>
      </x:c>
      <x:c r="AU121" s="374" t="str">
        <x:f t="shared" si="176"/>
        <x:v/>
      </x:c>
      <x:c r="AV121" s="472" t="str">
        <x:f>IF($AN121="","",IF($AO121="지역개발기금",SUMIFS('3. 일출(의존)'!$AE$8:$AE$2000,'3. 일출(의존)'!$AS$8:$AS$2000,$AN121)+SUMIFS('3. 일출(자체)'!$AE$8:$AE$2000,'3. 일출(자체)'!$AM$8:$AM$2000,$AN121),IF($AO121="지방채",SUMIFS('3. 일출(의존)'!$AD$8:$AD$2000,'3. 일출(의존)'!$AS$8:$AS$2000,$AN121)+SUMIFS('3. 일출(자체)'!$AD$8:$AD$2000,'3. 일출(자체)'!$AM$8:$AM$2000,$AN121),0)))</x:f>
        <x:v/>
      </x:c>
      <x:c r="AW121" s="377" t="str">
        <x:f>IF($AN121="","",COUNTIF('3. 일출(의존)'!$AS$8:$AS$2000,$AN121)+COUNTIF('3. 일출(자체)'!$AM$8:$AM$2000,$AN121))</x:f>
        <x:v/>
      </x:c>
      <x:c r="AX121" s="374" t="str">
        <x:f t="shared" si="177"/>
        <x:v/>
      </x:c>
      <x:c r="AY121" s="91"/>
      <x:c r="AZ121" s="472" t="str">
        <x:f>IF($AK121="","",SUMIFS('3. 일출(의존)'!$AH$8:$AH$1989,'3. 일출(의존)'!$AN$8:$AN$1989,$AK121))</x:f>
        <x:v/>
      </x:c>
      <x:c r="BA121" s="377" t="str">
        <x:f>IF($AK121="","",COUNTIF('3. 일출(의존)'!$AN$7:$AN$1989,$AK121))</x:f>
        <x:v/>
      </x:c>
      <x:c r="BB121" s="374" t="str">
        <x:f t="shared" si="178"/>
        <x:v/>
      </x:c>
      <x:c r="BC121" s="472" t="str">
        <x:f>IF($AN121="","",IF($AO121="지역개발기금",SUMIFS('3. 일출(의존)'!$AK$8:$AK$2000,'3. 일출(의존)'!$AS$8:$AS$2000,$AN121)+SUMIFS('3. 일출(자체)'!$AJ$8:$AJ$2000,'3. 일출(자체)'!$AM$8:$AM$2000,$AN121),IF($AO121="지방채",SUMIFS('3. 일출(의존)'!$AJ$8:$AJ$2000,'3. 일출(의존)'!$AS$8:$AS$2000,$AN121)+SUMIFS('3. 일출(자체)'!$AI$8:$AI$2000,'3. 일출(자체)'!$AM$8:$AM$2000,$AN121),0)))</x:f>
        <x:v/>
      </x:c>
      <x:c r="BD121" s="377" t="str">
        <x:f>IF($AN121="","",COUNTIF('3. 일출(의존)'!$AS$8:$AS$2000,$AN121)+COUNTIF('3. 일출(자체)'!$AM$8:$AM$2000,$AN121))</x:f>
        <x:v/>
      </x:c>
      <x:c r="BE121" s="374" t="str">
        <x:f t="shared" si="179"/>
        <x:v/>
      </x:c>
    </x:row>
    <x:row r="122" spans="1:57" s="20" customFormat="1" ht="80.099999999999994" customHeight="1">
      <x:c r="A122" s="155" t="str">
        <x:f>IF(D122="","",COUNTA($C$8:C122)-COUNTBLANK($C$8:C122)+7)</x:f>
        <x:v/>
      </x:c>
      <x:c r="B122" s="156" t="str">
        <x: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x:f>
        <x:v/>
      </x:c>
      <x:c r="C122" s="156" t="str">
        <x:f>IF(D122="","",IF(OR(D122="교육지원과",D122="총무과",D122="인사과"),"직접입력",VLOOKUP(D122,구분표!$A$3:$C$258,3,)))</x:f>
        <x:v/>
      </x:c>
      <x:c r="D122" s="219"/>
      <x:c r="E122" s="213"/>
      <x:c r="F122" s="388" t="str">
        <x:f t="shared" si="180"/>
        <x:v/>
      </x:c>
      <x:c r="G122" s="388" t="str">
        <x:f t="shared" si="180"/>
        <x:v/>
      </x:c>
      <x:c r="H122" s="213"/>
      <x:c r="I122" s="156" t="str">
        <x:f>IF(H122="","",VLOOKUP($H122,구분표!$O$3:$P$168,2,FALSE))</x:f>
        <x:v/>
      </x:c>
      <x:c r="J122" s="215"/>
      <x:c r="K122" s="459" t="str">
        <x:f t="shared" si="181"/>
        <x:v/>
      </x:c>
      <x:c r="L122" s="459" t="str">
        <x:f t="shared" si="182"/>
        <x:v/>
      </x:c>
      <x:c r="M122" s="461" t="str">
        <x:f t="shared" si="161"/>
        <x:v/>
      </x:c>
      <x:c r="N122" s="460"/>
      <x:c r="O122" s="461">
        <x:f t="shared" si="162"/>
        <x:v>0</x:v>
      </x:c>
      <x:c r="P122" s="462"/>
      <x:c r="Q122" s="463">
        <x:f t="shared" si="163"/>
        <x:v>0</x:v>
      </x:c>
      <x:c r="R122" s="162" t="str">
        <x:f t="shared" si="164"/>
        <x:v>X</x:v>
      </x:c>
      <x:c r="S122" s="216"/>
      <x:c r="T122" s="327"/>
      <x:c r="U122" s="217"/>
      <x:c r="V122" s="203"/>
      <x:c r="W122" s="217"/>
      <x:c r="X122" s="217"/>
      <x:c r="Y122" s="162" t="str">
        <x:f t="shared" si="165"/>
        <x:v/>
      </x:c>
      <x:c r="Z122" s="45"/>
      <x:c r="AA122" s="471" t="str">
        <x:f t="shared" si="166"/>
        <x:v/>
      </x:c>
      <x:c r="AB122" s="471" t="str">
        <x:f t="shared" si="167"/>
        <x:v/>
      </x:c>
      <x:c r="AC122" s="471" t="str">
        <x:f t="shared" si="168"/>
        <x:v/>
      </x:c>
      <x:c r="AD122" s="471" t="str">
        <x:f t="shared" si="169"/>
        <x:v/>
      </x:c>
      <x:c r="AE122" s="46"/>
      <x:c r="AF122" s="471" t="str">
        <x:f t="shared" si="170"/>
        <x:v/>
      </x:c>
      <x:c r="AG122" s="471" t="str">
        <x:f t="shared" si="171"/>
        <x:v/>
      </x:c>
      <x:c r="AH122" s="471" t="str">
        <x:f t="shared" si="172"/>
        <x:v/>
      </x:c>
      <x:c r="AI122" s="471" t="str">
        <x:f t="shared" si="173"/>
        <x:v/>
      </x:c>
      <x:c r="AJ122" s="87"/>
      <x:c r="AK122" s="374" t="str">
        <x:f>IF($AQ122="","",IF(OR($AL122="",$AL122="도비"),"",CONCATENATE($AQ122,"-",COUNTIF($AQ$8:$AQ122,$AQ122))))</x:f>
        <x:v/>
      </x:c>
      <x:c r="AL122" s="374" t="str">
        <x:f t="shared" si="174"/>
        <x:v/>
      </x:c>
      <x:c r="AM122" s="87"/>
      <x:c r="AN122" s="375" t="str">
        <x:f>IF($AQ122="","",IF(OR($AO122="",$AO122="국비",$AO122="자체"),"",CONCATENATE($AQ122,"-",$AO122,"-",COUNTIF($AQ$8:$AQ122,$AQ122))))</x:f>
        <x:v/>
      </x:c>
      <x:c r="AO122" s="375" t="str">
        <x:f t="shared" si="175"/>
        <x:v/>
      </x:c>
      <x:c r="AP122" s="87"/>
      <x:c r="AQ122" s="374" t="str">
        <x:f t="array" ref="AQ122:AQ122">IF(OR($D122="",$C122="직접입력",$B122="직접입력"),"",INDEX(구분표!$I$2:$I$337,MATCH(1,(구분표!$G$2:$G$337='3. 일입'!$B122)*(구분표!$E$2:$E$337='3. 일입'!$C122)*(구분표!$F$2:$F$337='3. 일입'!$D122),0)))</x:f>
        <x:v/>
      </x:c>
      <x:c r="AR122" s="87"/>
      <x:c r="AS122" s="472" t="str">
        <x:f>IF($AK122="","",SUMIFS('3. 일출(의존)'!$AB$7:$AB$1989,'3. 일출(의존)'!$AN$7:$AN$1989,$AK122))</x:f>
        <x:v/>
      </x:c>
      <x:c r="AT122" s="377" t="str">
        <x:f>IF($AK122="","",COUNTIF('3. 일출(의존)'!$AN$7:$AN$1989,$AK122))</x:f>
        <x:v/>
      </x:c>
      <x:c r="AU122" s="374" t="str">
        <x:f t="shared" si="176"/>
        <x:v/>
      </x:c>
      <x:c r="AV122" s="472" t="str">
        <x:f>IF($AN122="","",IF($AO122="지역개발기금",SUMIFS('3. 일출(의존)'!$AE$8:$AE$2000,'3. 일출(의존)'!$AS$8:$AS$2000,$AN122)+SUMIFS('3. 일출(자체)'!$AE$8:$AE$2000,'3. 일출(자체)'!$AM$8:$AM$2000,$AN122),IF($AO122="지방채",SUMIFS('3. 일출(의존)'!$AD$8:$AD$2000,'3. 일출(의존)'!$AS$8:$AS$2000,$AN122)+SUMIFS('3. 일출(자체)'!$AD$8:$AD$2000,'3. 일출(자체)'!$AM$8:$AM$2000,$AN122),0)))</x:f>
        <x:v/>
      </x:c>
      <x:c r="AW122" s="377" t="str">
        <x:f>IF($AN122="","",COUNTIF('3. 일출(의존)'!$AS$8:$AS$2000,$AN122)+COUNTIF('3. 일출(자체)'!$AM$8:$AM$2000,$AN122))</x:f>
        <x:v/>
      </x:c>
      <x:c r="AX122" s="374" t="str">
        <x:f t="shared" si="177"/>
        <x:v/>
      </x:c>
      <x:c r="AY122" s="91"/>
      <x:c r="AZ122" s="472" t="str">
        <x:f>IF($AK122="","",SUMIFS('3. 일출(의존)'!$AH$8:$AH$1989,'3. 일출(의존)'!$AN$8:$AN$1989,$AK122))</x:f>
        <x:v/>
      </x:c>
      <x:c r="BA122" s="377" t="str">
        <x:f>IF($AK122="","",COUNTIF('3. 일출(의존)'!$AN$7:$AN$1989,$AK122))</x:f>
        <x:v/>
      </x:c>
      <x:c r="BB122" s="374" t="str">
        <x:f t="shared" si="178"/>
        <x:v/>
      </x:c>
      <x:c r="BC122" s="472" t="str">
        <x:f>IF($AN122="","",IF($AO122="지역개발기금",SUMIFS('3. 일출(의존)'!$AK$8:$AK$2000,'3. 일출(의존)'!$AS$8:$AS$2000,$AN122)+SUMIFS('3. 일출(자체)'!$AJ$8:$AJ$2000,'3. 일출(자체)'!$AM$8:$AM$2000,$AN122),IF($AO122="지방채",SUMIFS('3. 일출(의존)'!$AJ$8:$AJ$2000,'3. 일출(의존)'!$AS$8:$AS$2000,$AN122)+SUMIFS('3. 일출(자체)'!$AI$8:$AI$2000,'3. 일출(자체)'!$AM$8:$AM$2000,$AN122),0)))</x:f>
        <x:v/>
      </x:c>
      <x:c r="BD122" s="377" t="str">
        <x:f>IF($AN122="","",COUNTIF('3. 일출(의존)'!$AS$8:$AS$2000,$AN122)+COUNTIF('3. 일출(자체)'!$AM$8:$AM$2000,$AN122))</x:f>
        <x:v/>
      </x:c>
      <x:c r="BE122" s="374" t="str">
        <x:f t="shared" si="179"/>
        <x:v/>
      </x:c>
    </x:row>
    <x:row r="123" spans="1:57" s="20" customFormat="1" ht="80.099999999999994" customHeight="1">
      <x:c r="A123" s="155" t="str">
        <x:f>IF(D123="","",COUNTA($C$8:C123)-COUNTBLANK($C$8:C123)+7)</x:f>
        <x:v/>
      </x:c>
      <x:c r="B123" s="156" t="str">
        <x: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x:f>
        <x:v/>
      </x:c>
      <x:c r="C123" s="156" t="str">
        <x:f>IF(D123="","",IF(OR(D123="교육지원과",D123="총무과",D123="인사과"),"직접입력",VLOOKUP(D123,구분표!$A$3:$C$258,3,)))</x:f>
        <x:v/>
      </x:c>
      <x:c r="D123" s="219"/>
      <x:c r="E123" s="213"/>
      <x:c r="F123" s="388" t="str">
        <x:f t="shared" si="180"/>
        <x:v/>
      </x:c>
      <x:c r="G123" s="388" t="str">
        <x:f t="shared" si="180"/>
        <x:v/>
      </x:c>
      <x:c r="H123" s="213"/>
      <x:c r="I123" s="156" t="str">
        <x:f>IF(H123="","",VLOOKUP($H123,구분표!$O$3:$P$168,2,FALSE))</x:f>
        <x:v/>
      </x:c>
      <x:c r="J123" s="215"/>
      <x:c r="K123" s="459" t="str">
        <x:f t="shared" si="181"/>
        <x:v/>
      </x:c>
      <x:c r="L123" s="459" t="str">
        <x:f t="shared" si="182"/>
        <x:v/>
      </x:c>
      <x:c r="M123" s="461" t="str">
        <x:f t="shared" si="161"/>
        <x:v/>
      </x:c>
      <x:c r="N123" s="460"/>
      <x:c r="O123" s="461">
        <x:f t="shared" si="162"/>
        <x:v>0</x:v>
      </x:c>
      <x:c r="P123" s="462"/>
      <x:c r="Q123" s="463">
        <x:f t="shared" si="163"/>
        <x:v>0</x:v>
      </x:c>
      <x:c r="R123" s="162" t="str">
        <x:f t="shared" si="164"/>
        <x:v>X</x:v>
      </x:c>
      <x:c r="S123" s="216"/>
      <x:c r="T123" s="327"/>
      <x:c r="U123" s="217"/>
      <x:c r="V123" s="203"/>
      <x:c r="W123" s="217"/>
      <x:c r="X123" s="217"/>
      <x:c r="Y123" s="162" t="str">
        <x:f t="shared" si="165"/>
        <x:v/>
      </x:c>
      <x:c r="Z123" s="45"/>
      <x:c r="AA123" s="471" t="str">
        <x:f t="shared" si="166"/>
        <x:v/>
      </x:c>
      <x:c r="AB123" s="471" t="str">
        <x:f t="shared" si="167"/>
        <x:v/>
      </x:c>
      <x:c r="AC123" s="471" t="str">
        <x:f t="shared" si="168"/>
        <x:v/>
      </x:c>
      <x:c r="AD123" s="471" t="str">
        <x:f t="shared" si="169"/>
        <x:v/>
      </x:c>
      <x:c r="AE123" s="46"/>
      <x:c r="AF123" s="471" t="str">
        <x:f t="shared" si="170"/>
        <x:v/>
      </x:c>
      <x:c r="AG123" s="471" t="str">
        <x:f t="shared" si="171"/>
        <x:v/>
      </x:c>
      <x:c r="AH123" s="471" t="str">
        <x:f t="shared" si="172"/>
        <x:v/>
      </x:c>
      <x:c r="AI123" s="471" t="str">
        <x:f t="shared" si="173"/>
        <x:v/>
      </x:c>
      <x:c r="AJ123" s="87"/>
      <x:c r="AK123" s="374" t="str">
        <x:f>IF($AQ123="","",IF(OR($AL123="",$AL123="도비"),"",CONCATENATE($AQ123,"-",COUNTIF($AQ$8:$AQ123,$AQ123))))</x:f>
        <x:v/>
      </x:c>
      <x:c r="AL123" s="374" t="str">
        <x:f t="shared" si="174"/>
        <x:v/>
      </x:c>
      <x:c r="AM123" s="87"/>
      <x:c r="AN123" s="375" t="str">
        <x:f>IF($AQ123="","",IF(OR($AO123="",$AO123="국비",$AO123="자체"),"",CONCATENATE($AQ123,"-",$AO123,"-",COUNTIF($AQ$8:$AQ123,$AQ123))))</x:f>
        <x:v/>
      </x:c>
      <x:c r="AO123" s="375" t="str">
        <x:f t="shared" si="175"/>
        <x:v/>
      </x:c>
      <x:c r="AP123" s="87"/>
      <x:c r="AQ123" s="374" t="str">
        <x:f t="array" ref="AQ123:AQ123">IF(OR($D123="",$C123="직접입력",$B123="직접입력"),"",INDEX(구분표!$I$2:$I$337,MATCH(1,(구분표!$G$2:$G$337='3. 일입'!$B123)*(구분표!$E$2:$E$337='3. 일입'!$C123)*(구분표!$F$2:$F$337='3. 일입'!$D123),0)))</x:f>
        <x:v/>
      </x:c>
      <x:c r="AR123" s="87"/>
      <x:c r="AS123" s="472" t="str">
        <x:f>IF($AK123="","",SUMIFS('3. 일출(의존)'!$AB$7:$AB$1989,'3. 일출(의존)'!$AN$7:$AN$1989,$AK123))</x:f>
        <x:v/>
      </x:c>
      <x:c r="AT123" s="377" t="str">
        <x:f>IF($AK123="","",COUNTIF('3. 일출(의존)'!$AN$7:$AN$1989,$AK123))</x:f>
        <x:v/>
      </x:c>
      <x:c r="AU123" s="374" t="str">
        <x:f t="shared" si="176"/>
        <x:v/>
      </x:c>
      <x:c r="AV123" s="472" t="str">
        <x:f>IF($AN123="","",IF($AO123="지역개발기금",SUMIFS('3. 일출(의존)'!$AE$8:$AE$2000,'3. 일출(의존)'!$AS$8:$AS$2000,$AN123)+SUMIFS('3. 일출(자체)'!$AE$8:$AE$2000,'3. 일출(자체)'!$AM$8:$AM$2000,$AN123),IF($AO123="지방채",SUMIFS('3. 일출(의존)'!$AD$8:$AD$2000,'3. 일출(의존)'!$AS$8:$AS$2000,$AN123)+SUMIFS('3. 일출(자체)'!$AD$8:$AD$2000,'3. 일출(자체)'!$AM$8:$AM$2000,$AN123),0)))</x:f>
        <x:v/>
      </x:c>
      <x:c r="AW123" s="377" t="str">
        <x:f>IF($AN123="","",COUNTIF('3. 일출(의존)'!$AS$8:$AS$2000,$AN123)+COUNTIF('3. 일출(자체)'!$AM$8:$AM$2000,$AN123))</x:f>
        <x:v/>
      </x:c>
      <x:c r="AX123" s="374" t="str">
        <x:f t="shared" si="177"/>
        <x:v/>
      </x:c>
      <x:c r="AY123" s="91"/>
      <x:c r="AZ123" s="472" t="str">
        <x:f>IF($AK123="","",SUMIFS('3. 일출(의존)'!$AH$8:$AH$1989,'3. 일출(의존)'!$AN$8:$AN$1989,$AK123))</x:f>
        <x:v/>
      </x:c>
      <x:c r="BA123" s="377" t="str">
        <x:f>IF($AK123="","",COUNTIF('3. 일출(의존)'!$AN$7:$AN$1989,$AK123))</x:f>
        <x:v/>
      </x:c>
      <x:c r="BB123" s="374" t="str">
        <x:f t="shared" si="178"/>
        <x:v/>
      </x:c>
      <x:c r="BC123" s="472" t="str">
        <x:f>IF($AN123="","",IF($AO123="지역개발기금",SUMIFS('3. 일출(의존)'!$AK$8:$AK$2000,'3. 일출(의존)'!$AS$8:$AS$2000,$AN123)+SUMIFS('3. 일출(자체)'!$AJ$8:$AJ$2000,'3. 일출(자체)'!$AM$8:$AM$2000,$AN123),IF($AO123="지방채",SUMIFS('3. 일출(의존)'!$AJ$8:$AJ$2000,'3. 일출(의존)'!$AS$8:$AS$2000,$AN123)+SUMIFS('3. 일출(자체)'!$AI$8:$AI$2000,'3. 일출(자체)'!$AM$8:$AM$2000,$AN123),0)))</x:f>
        <x:v/>
      </x:c>
      <x:c r="BD123" s="377" t="str">
        <x:f>IF($AN123="","",COUNTIF('3. 일출(의존)'!$AS$8:$AS$2000,$AN123)+COUNTIF('3. 일출(자체)'!$AM$8:$AM$2000,$AN123))</x:f>
        <x:v/>
      </x:c>
      <x:c r="BE123" s="374" t="str">
        <x:f t="shared" si="179"/>
        <x:v/>
      </x:c>
    </x:row>
    <x:row r="124" spans="1:57" s="20" customFormat="1" ht="80.099999999999994" customHeight="1">
      <x:c r="A124" s="155" t="str">
        <x:f>IF(D124="","",COUNTA($C$8:C124)-COUNTBLANK($C$8:C124)+7)</x:f>
        <x:v/>
      </x:c>
      <x:c r="B124" s="156" t="str">
        <x: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x:f>
        <x:v/>
      </x:c>
      <x:c r="C124" s="156" t="str">
        <x:f>IF(D124="","",IF(OR(D124="교육지원과",D124="총무과",D124="인사과"),"직접입력",VLOOKUP(D124,구분표!$A$3:$C$258,3,)))</x:f>
        <x:v/>
      </x:c>
      <x:c r="D124" s="219"/>
      <x:c r="E124" s="213"/>
      <x:c r="F124" s="388" t="str">
        <x:f t="shared" si="180"/>
        <x:v/>
      </x:c>
      <x:c r="G124" s="388" t="str">
        <x:f t="shared" si="180"/>
        <x:v/>
      </x:c>
      <x:c r="H124" s="213"/>
      <x:c r="I124" s="156" t="str">
        <x:f>IF(H124="","",VLOOKUP($H124,구분표!$O$3:$P$168,2,FALSE))</x:f>
        <x:v/>
      </x:c>
      <x:c r="J124" s="215"/>
      <x:c r="K124" s="459" t="str">
        <x:f t="shared" si="181"/>
        <x:v/>
      </x:c>
      <x:c r="L124" s="459" t="str">
        <x:f t="shared" si="182"/>
        <x:v/>
      </x:c>
      <x:c r="M124" s="461" t="str">
        <x:f t="shared" si="161"/>
        <x:v/>
      </x:c>
      <x:c r="N124" s="460"/>
      <x:c r="O124" s="461">
        <x:f t="shared" si="162"/>
        <x:v>0</x:v>
      </x:c>
      <x:c r="P124" s="462"/>
      <x:c r="Q124" s="463">
        <x:f t="shared" si="163"/>
        <x:v>0</x:v>
      </x:c>
      <x:c r="R124" s="162" t="str">
        <x:f t="shared" si="164"/>
        <x:v>X</x:v>
      </x:c>
      <x:c r="S124" s="216"/>
      <x:c r="T124" s="327"/>
      <x:c r="U124" s="217"/>
      <x:c r="V124" s="203"/>
      <x:c r="W124" s="217"/>
      <x:c r="X124" s="217"/>
      <x:c r="Y124" s="162" t="str">
        <x:f t="shared" si="165"/>
        <x:v/>
      </x:c>
      <x:c r="Z124" s="45"/>
      <x:c r="AA124" s="471" t="str">
        <x:f t="shared" si="166"/>
        <x:v/>
      </x:c>
      <x:c r="AB124" s="471" t="str">
        <x:f t="shared" si="167"/>
        <x:v/>
      </x:c>
      <x:c r="AC124" s="471" t="str">
        <x:f t="shared" si="168"/>
        <x:v/>
      </x:c>
      <x:c r="AD124" s="471" t="str">
        <x:f t="shared" si="169"/>
        <x:v/>
      </x:c>
      <x:c r="AE124" s="46"/>
      <x:c r="AF124" s="471" t="str">
        <x:f t="shared" si="170"/>
        <x:v/>
      </x:c>
      <x:c r="AG124" s="471" t="str">
        <x:f t="shared" si="171"/>
        <x:v/>
      </x:c>
      <x:c r="AH124" s="471" t="str">
        <x:f t="shared" si="172"/>
        <x:v/>
      </x:c>
      <x:c r="AI124" s="471" t="str">
        <x:f t="shared" si="173"/>
        <x:v/>
      </x:c>
      <x:c r="AJ124" s="87"/>
      <x:c r="AK124" s="374" t="str">
        <x:f>IF($AQ124="","",IF(OR($AL124="",$AL124="도비"),"",CONCATENATE($AQ124,"-",COUNTIF($AQ$8:$AQ124,$AQ124))))</x:f>
        <x:v/>
      </x:c>
      <x:c r="AL124" s="374" t="str">
        <x:f t="shared" si="174"/>
        <x:v/>
      </x:c>
      <x:c r="AM124" s="87"/>
      <x:c r="AN124" s="375" t="str">
        <x:f>IF($AQ124="","",IF(OR($AO124="",$AO124="국비",$AO124="자체"),"",CONCATENATE($AQ124,"-",$AO124,"-",COUNTIF($AQ$8:$AQ124,$AQ124))))</x:f>
        <x:v/>
      </x:c>
      <x:c r="AO124" s="375" t="str">
        <x:f t="shared" si="175"/>
        <x:v/>
      </x:c>
      <x:c r="AP124" s="87"/>
      <x:c r="AQ124" s="374" t="str">
        <x:f t="array" ref="AQ124:AQ124">IF(OR($D124="",$C124="직접입력",$B124="직접입력"),"",INDEX(구분표!$I$2:$I$337,MATCH(1,(구분표!$G$2:$G$337='3. 일입'!$B124)*(구분표!$E$2:$E$337='3. 일입'!$C124)*(구분표!$F$2:$F$337='3. 일입'!$D124),0)))</x:f>
        <x:v/>
      </x:c>
      <x:c r="AR124" s="87"/>
      <x:c r="AS124" s="472" t="str">
        <x:f>IF($AK124="","",SUMIFS('3. 일출(의존)'!$AB$7:$AB$1989,'3. 일출(의존)'!$AN$7:$AN$1989,$AK124))</x:f>
        <x:v/>
      </x:c>
      <x:c r="AT124" s="377" t="str">
        <x:f>IF($AK124="","",COUNTIF('3. 일출(의존)'!$AN$7:$AN$1989,$AK124))</x:f>
        <x:v/>
      </x:c>
      <x:c r="AU124" s="374" t="str">
        <x:f t="shared" si="176"/>
        <x:v/>
      </x:c>
      <x:c r="AV124" s="472" t="str">
        <x:f>IF($AN124="","",IF($AO124="지역개발기금",SUMIFS('3. 일출(의존)'!$AE$8:$AE$2000,'3. 일출(의존)'!$AS$8:$AS$2000,$AN124)+SUMIFS('3. 일출(자체)'!$AE$8:$AE$2000,'3. 일출(자체)'!$AM$8:$AM$2000,$AN124),IF($AO124="지방채",SUMIFS('3. 일출(의존)'!$AD$8:$AD$2000,'3. 일출(의존)'!$AS$8:$AS$2000,$AN124)+SUMIFS('3. 일출(자체)'!$AD$8:$AD$2000,'3. 일출(자체)'!$AM$8:$AM$2000,$AN124),0)))</x:f>
        <x:v/>
      </x:c>
      <x:c r="AW124" s="377" t="str">
        <x:f>IF($AN124="","",COUNTIF('3. 일출(의존)'!$AS$8:$AS$2000,$AN124)+COUNTIF('3. 일출(자체)'!$AM$8:$AM$2000,$AN124))</x:f>
        <x:v/>
      </x:c>
      <x:c r="AX124" s="374" t="str">
        <x:f t="shared" si="177"/>
        <x:v/>
      </x:c>
      <x:c r="AY124" s="91"/>
      <x:c r="AZ124" s="472" t="str">
        <x:f>IF($AK124="","",SUMIFS('3. 일출(의존)'!$AH$8:$AH$1989,'3. 일출(의존)'!$AN$8:$AN$1989,$AK124))</x:f>
        <x:v/>
      </x:c>
      <x:c r="BA124" s="377" t="str">
        <x:f>IF($AK124="","",COUNTIF('3. 일출(의존)'!$AN$7:$AN$1989,$AK124))</x:f>
        <x:v/>
      </x:c>
      <x:c r="BB124" s="374" t="str">
        <x:f t="shared" si="178"/>
        <x:v/>
      </x:c>
      <x:c r="BC124" s="472" t="str">
        <x:f>IF($AN124="","",IF($AO124="지역개발기금",SUMIFS('3. 일출(의존)'!$AK$8:$AK$2000,'3. 일출(의존)'!$AS$8:$AS$2000,$AN124)+SUMIFS('3. 일출(자체)'!$AJ$8:$AJ$2000,'3. 일출(자체)'!$AM$8:$AM$2000,$AN124),IF($AO124="지방채",SUMIFS('3. 일출(의존)'!$AJ$8:$AJ$2000,'3. 일출(의존)'!$AS$8:$AS$2000,$AN124)+SUMIFS('3. 일출(자체)'!$AI$8:$AI$2000,'3. 일출(자체)'!$AM$8:$AM$2000,$AN124),0)))</x:f>
        <x:v/>
      </x:c>
      <x:c r="BD124" s="377" t="str">
        <x:f>IF($AN124="","",COUNTIF('3. 일출(의존)'!$AS$8:$AS$2000,$AN124)+COUNTIF('3. 일출(자체)'!$AM$8:$AM$2000,$AN124))</x:f>
        <x:v/>
      </x:c>
      <x:c r="BE124" s="374" t="str">
        <x:f t="shared" si="179"/>
        <x:v/>
      </x:c>
    </x:row>
    <x:row r="125" spans="1:57" s="20" customFormat="1" ht="80.099999999999994" customHeight="1">
      <x:c r="A125" s="155" t="str">
        <x:f>IF(D125="","",COUNTA($C$8:C125)-COUNTBLANK($C$8:C125)+7)</x:f>
        <x:v/>
      </x:c>
      <x:c r="B125" s="156" t="str">
        <x: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x:f>
        <x:v/>
      </x:c>
      <x:c r="C125" s="156" t="str">
        <x:f>IF(D125="","",IF(OR(D125="교육지원과",D125="총무과",D125="인사과"),"직접입력",VLOOKUP(D125,구분표!$A$3:$C$258,3,)))</x:f>
        <x:v/>
      </x:c>
      <x:c r="D125" s="219"/>
      <x:c r="E125" s="213"/>
      <x:c r="F125" s="388" t="str">
        <x:f t="shared" si="180"/>
        <x:v/>
      </x:c>
      <x:c r="G125" s="388" t="str">
        <x:f t="shared" si="180"/>
        <x:v/>
      </x:c>
      <x:c r="H125" s="213"/>
      <x:c r="I125" s="156" t="str">
        <x:f>IF(H125="","",VLOOKUP($H125,구분표!$O$3:$P$168,2,FALSE))</x:f>
        <x:v/>
      </x:c>
      <x:c r="J125" s="215"/>
      <x:c r="K125" s="459" t="str">
        <x:f t="shared" si="181"/>
        <x:v/>
      </x:c>
      <x:c r="L125" s="459" t="str">
        <x:f t="shared" si="182"/>
        <x:v/>
      </x:c>
      <x:c r="M125" s="461" t="str">
        <x:f t="shared" si="161"/>
        <x:v/>
      </x:c>
      <x:c r="N125" s="460"/>
      <x:c r="O125" s="461">
        <x:f t="shared" si="162"/>
        <x:v>0</x:v>
      </x:c>
      <x:c r="P125" s="462"/>
      <x:c r="Q125" s="463">
        <x:f t="shared" si="163"/>
        <x:v>0</x:v>
      </x:c>
      <x:c r="R125" s="162" t="str">
        <x:f t="shared" si="164"/>
        <x:v>X</x:v>
      </x:c>
      <x:c r="S125" s="216"/>
      <x:c r="T125" s="327"/>
      <x:c r="U125" s="217"/>
      <x:c r="V125" s="203"/>
      <x:c r="W125" s="217"/>
      <x:c r="X125" s="217"/>
      <x:c r="Y125" s="162" t="str">
        <x:f t="shared" si="165"/>
        <x:v/>
      </x:c>
      <x:c r="Z125" s="45"/>
      <x:c r="AA125" s="471" t="str">
        <x:f t="shared" si="166"/>
        <x:v/>
      </x:c>
      <x:c r="AB125" s="471" t="str">
        <x:f t="shared" si="167"/>
        <x:v/>
      </x:c>
      <x:c r="AC125" s="471" t="str">
        <x:f t="shared" si="168"/>
        <x:v/>
      </x:c>
      <x:c r="AD125" s="471" t="str">
        <x:f t="shared" si="169"/>
        <x:v/>
      </x:c>
      <x:c r="AE125" s="46"/>
      <x:c r="AF125" s="471" t="str">
        <x:f t="shared" si="170"/>
        <x:v/>
      </x:c>
      <x:c r="AG125" s="471" t="str">
        <x:f t="shared" si="171"/>
        <x:v/>
      </x:c>
      <x:c r="AH125" s="471" t="str">
        <x:f t="shared" si="172"/>
        <x:v/>
      </x:c>
      <x:c r="AI125" s="471" t="str">
        <x:f t="shared" si="173"/>
        <x:v/>
      </x:c>
      <x:c r="AJ125" s="87"/>
      <x:c r="AK125" s="374" t="str">
        <x:f>IF($AQ125="","",IF(OR($AL125="",$AL125="도비"),"",CONCATENATE($AQ125,"-",COUNTIF($AQ$8:$AQ125,$AQ125))))</x:f>
        <x:v/>
      </x:c>
      <x:c r="AL125" s="374" t="str">
        <x:f t="shared" si="174"/>
        <x:v/>
      </x:c>
      <x:c r="AM125" s="87"/>
      <x:c r="AN125" s="375" t="str">
        <x:f>IF($AQ125="","",IF(OR($AO125="",$AO125="국비",$AO125="자체"),"",CONCATENATE($AQ125,"-",$AO125,"-",COUNTIF($AQ$8:$AQ125,$AQ125))))</x:f>
        <x:v/>
      </x:c>
      <x:c r="AO125" s="375" t="str">
        <x:f t="shared" si="175"/>
        <x:v/>
      </x:c>
      <x:c r="AP125" s="87"/>
      <x:c r="AQ125" s="374" t="str">
        <x:f t="array" ref="AQ125:AQ125">IF(OR($D125="",$C125="직접입력",$B125="직접입력"),"",INDEX(구분표!$I$2:$I$337,MATCH(1,(구분표!$G$2:$G$337='3. 일입'!$B125)*(구분표!$E$2:$E$337='3. 일입'!$C125)*(구분표!$F$2:$F$337='3. 일입'!$D125),0)))</x:f>
        <x:v/>
      </x:c>
      <x:c r="AR125" s="87"/>
      <x:c r="AS125" s="472" t="str">
        <x:f>IF($AK125="","",SUMIFS('3. 일출(의존)'!$AB$7:$AB$1989,'3. 일출(의존)'!$AN$7:$AN$1989,$AK125))</x:f>
        <x:v/>
      </x:c>
      <x:c r="AT125" s="377" t="str">
        <x:f>IF($AK125="","",COUNTIF('3. 일출(의존)'!$AN$7:$AN$1989,$AK125))</x:f>
        <x:v/>
      </x:c>
      <x:c r="AU125" s="374" t="str">
        <x:f t="shared" si="176"/>
        <x:v/>
      </x:c>
      <x:c r="AV125" s="472" t="str">
        <x:f>IF($AN125="","",IF($AO125="지역개발기금",SUMIFS('3. 일출(의존)'!$AE$8:$AE$2000,'3. 일출(의존)'!$AS$8:$AS$2000,$AN125)+SUMIFS('3. 일출(자체)'!$AE$8:$AE$2000,'3. 일출(자체)'!$AM$8:$AM$2000,$AN125),IF($AO125="지방채",SUMIFS('3. 일출(의존)'!$AD$8:$AD$2000,'3. 일출(의존)'!$AS$8:$AS$2000,$AN125)+SUMIFS('3. 일출(자체)'!$AD$8:$AD$2000,'3. 일출(자체)'!$AM$8:$AM$2000,$AN125),0)))</x:f>
        <x:v/>
      </x:c>
      <x:c r="AW125" s="377" t="str">
        <x:f>IF($AN125="","",COUNTIF('3. 일출(의존)'!$AS$8:$AS$2000,$AN125)+COUNTIF('3. 일출(자체)'!$AM$8:$AM$2000,$AN125))</x:f>
        <x:v/>
      </x:c>
      <x:c r="AX125" s="374" t="str">
        <x:f t="shared" si="177"/>
        <x:v/>
      </x:c>
      <x:c r="AY125" s="91"/>
      <x:c r="AZ125" s="472" t="str">
        <x:f>IF($AK125="","",SUMIFS('3. 일출(의존)'!$AH$8:$AH$1989,'3. 일출(의존)'!$AN$8:$AN$1989,$AK125))</x:f>
        <x:v/>
      </x:c>
      <x:c r="BA125" s="377" t="str">
        <x:f>IF($AK125="","",COUNTIF('3. 일출(의존)'!$AN$7:$AN$1989,$AK125))</x:f>
        <x:v/>
      </x:c>
      <x:c r="BB125" s="374" t="str">
        <x:f t="shared" si="178"/>
        <x:v/>
      </x:c>
      <x:c r="BC125" s="472" t="str">
        <x:f>IF($AN125="","",IF($AO125="지역개발기금",SUMIFS('3. 일출(의존)'!$AK$8:$AK$2000,'3. 일출(의존)'!$AS$8:$AS$2000,$AN125)+SUMIFS('3. 일출(자체)'!$AJ$8:$AJ$2000,'3. 일출(자체)'!$AM$8:$AM$2000,$AN125),IF($AO125="지방채",SUMIFS('3. 일출(의존)'!$AJ$8:$AJ$2000,'3. 일출(의존)'!$AS$8:$AS$2000,$AN125)+SUMIFS('3. 일출(자체)'!$AI$8:$AI$2000,'3. 일출(자체)'!$AM$8:$AM$2000,$AN125),0)))</x:f>
        <x:v/>
      </x:c>
      <x:c r="BD125" s="377" t="str">
        <x:f>IF($AN125="","",COUNTIF('3. 일출(의존)'!$AS$8:$AS$2000,$AN125)+COUNTIF('3. 일출(자체)'!$AM$8:$AM$2000,$AN125))</x:f>
        <x:v/>
      </x:c>
      <x:c r="BE125" s="374" t="str">
        <x:f t="shared" si="179"/>
        <x:v/>
      </x:c>
    </x:row>
    <x:row r="126" spans="1:57" s="20" customFormat="1" ht="80.099999999999994" customHeight="1">
      <x:c r="A126" s="155" t="str">
        <x:f>IF(D126="","",COUNTA($C$8:C126)-COUNTBLANK($C$8:C126)+7)</x:f>
        <x:v/>
      </x:c>
      <x:c r="B126" s="156" t="str">
        <x: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x:f>
        <x:v/>
      </x:c>
      <x:c r="C126" s="156" t="str">
        <x:f>IF(D126="","",IF(OR(D126="교육지원과",D126="총무과",D126="인사과"),"직접입력",VLOOKUP(D126,구분표!$A$3:$C$258,3,)))</x:f>
        <x:v/>
      </x:c>
      <x:c r="D126" s="219"/>
      <x:c r="E126" s="213"/>
      <x:c r="F126" s="388" t="str">
        <x:f t="shared" si="180"/>
        <x:v/>
      </x:c>
      <x:c r="G126" s="388" t="str">
        <x:f t="shared" si="180"/>
        <x:v/>
      </x:c>
      <x:c r="H126" s="213"/>
      <x:c r="I126" s="156" t="str">
        <x:f>IF(H126="","",VLOOKUP($H126,구분표!$O$3:$P$168,2,FALSE))</x:f>
        <x:v/>
      </x:c>
      <x:c r="J126" s="215"/>
      <x:c r="K126" s="459" t="str">
        <x:f t="shared" si="181"/>
        <x:v/>
      </x:c>
      <x:c r="L126" s="459" t="str">
        <x:f t="shared" si="182"/>
        <x:v/>
      </x:c>
      <x:c r="M126" s="461" t="str">
        <x:f t="shared" si="161"/>
        <x:v/>
      </x:c>
      <x:c r="N126" s="460"/>
      <x:c r="O126" s="461">
        <x:f t="shared" si="162"/>
        <x:v>0</x:v>
      </x:c>
      <x:c r="P126" s="462"/>
      <x:c r="Q126" s="463">
        <x:f t="shared" si="163"/>
        <x:v>0</x:v>
      </x:c>
      <x:c r="R126" s="162" t="str">
        <x:f t="shared" si="164"/>
        <x:v>X</x:v>
      </x:c>
      <x:c r="S126" s="216"/>
      <x:c r="T126" s="327"/>
      <x:c r="U126" s="217"/>
      <x:c r="V126" s="203"/>
      <x:c r="W126" s="217"/>
      <x:c r="X126" s="217"/>
      <x:c r="Y126" s="162" t="str">
        <x:f t="shared" si="165"/>
        <x:v/>
      </x:c>
      <x:c r="Z126" s="45"/>
      <x:c r="AA126" s="471" t="str">
        <x:f t="shared" si="166"/>
        <x:v/>
      </x:c>
      <x:c r="AB126" s="471" t="str">
        <x:f t="shared" si="167"/>
        <x:v/>
      </x:c>
      <x:c r="AC126" s="471" t="str">
        <x:f t="shared" si="168"/>
        <x:v/>
      </x:c>
      <x:c r="AD126" s="471" t="str">
        <x:f t="shared" si="169"/>
        <x:v/>
      </x:c>
      <x:c r="AE126" s="46"/>
      <x:c r="AF126" s="471" t="str">
        <x:f t="shared" si="170"/>
        <x:v/>
      </x:c>
      <x:c r="AG126" s="471" t="str">
        <x:f t="shared" si="171"/>
        <x:v/>
      </x:c>
      <x:c r="AH126" s="471" t="str">
        <x:f t="shared" si="172"/>
        <x:v/>
      </x:c>
      <x:c r="AI126" s="471" t="str">
        <x:f t="shared" si="173"/>
        <x:v/>
      </x:c>
      <x:c r="AJ126" s="87"/>
      <x:c r="AK126" s="374" t="str">
        <x:f>IF($AQ126="","",IF(OR($AL126="",$AL126="도비"),"",CONCATENATE($AQ126,"-",COUNTIF($AQ$8:$AQ126,$AQ126))))</x:f>
        <x:v/>
      </x:c>
      <x:c r="AL126" s="374" t="str">
        <x:f t="shared" si="174"/>
        <x:v/>
      </x:c>
      <x:c r="AM126" s="87"/>
      <x:c r="AN126" s="375" t="str">
        <x:f>IF($AQ126="","",IF(OR($AO126="",$AO126="국비",$AO126="자체"),"",CONCATENATE($AQ126,"-",$AO126,"-",COUNTIF($AQ$8:$AQ126,$AQ126))))</x:f>
        <x:v/>
      </x:c>
      <x:c r="AO126" s="375" t="str">
        <x:f t="shared" si="175"/>
        <x:v/>
      </x:c>
      <x:c r="AP126" s="87"/>
      <x:c r="AQ126" s="374" t="str">
        <x:f t="array" ref="AQ126:AQ126">IF(OR($D126="",$C126="직접입력",$B126="직접입력"),"",INDEX(구분표!$I$2:$I$337,MATCH(1,(구분표!$G$2:$G$337='3. 일입'!$B126)*(구분표!$E$2:$E$337='3. 일입'!$C126)*(구분표!$F$2:$F$337='3. 일입'!$D126),0)))</x:f>
        <x:v/>
      </x:c>
      <x:c r="AR126" s="87"/>
      <x:c r="AS126" s="472" t="str">
        <x:f>IF($AK126="","",SUMIFS('3. 일출(의존)'!$AB$7:$AB$1989,'3. 일출(의존)'!$AN$7:$AN$1989,$AK126))</x:f>
        <x:v/>
      </x:c>
      <x:c r="AT126" s="377" t="str">
        <x:f>IF($AK126="","",COUNTIF('3. 일출(의존)'!$AN$7:$AN$1989,$AK126))</x:f>
        <x:v/>
      </x:c>
      <x:c r="AU126" s="374" t="str">
        <x:f t="shared" si="176"/>
        <x:v/>
      </x:c>
      <x:c r="AV126" s="472" t="str">
        <x:f>IF($AN126="","",IF($AO126="지역개발기금",SUMIFS('3. 일출(의존)'!$AE$8:$AE$2000,'3. 일출(의존)'!$AS$8:$AS$2000,$AN126)+SUMIFS('3. 일출(자체)'!$AE$8:$AE$2000,'3. 일출(자체)'!$AM$8:$AM$2000,$AN126),IF($AO126="지방채",SUMIFS('3. 일출(의존)'!$AD$8:$AD$2000,'3. 일출(의존)'!$AS$8:$AS$2000,$AN126)+SUMIFS('3. 일출(자체)'!$AD$8:$AD$2000,'3. 일출(자체)'!$AM$8:$AM$2000,$AN126),0)))</x:f>
        <x:v/>
      </x:c>
      <x:c r="AW126" s="377" t="str">
        <x:f>IF($AN126="","",COUNTIF('3. 일출(의존)'!$AS$8:$AS$2000,$AN126)+COUNTIF('3. 일출(자체)'!$AM$8:$AM$2000,$AN126))</x:f>
        <x:v/>
      </x:c>
      <x:c r="AX126" s="374" t="str">
        <x:f t="shared" si="177"/>
        <x:v/>
      </x:c>
      <x:c r="AY126" s="91"/>
      <x:c r="AZ126" s="472" t="str">
        <x:f>IF($AK126="","",SUMIFS('3. 일출(의존)'!$AH$8:$AH$1989,'3. 일출(의존)'!$AN$8:$AN$1989,$AK126))</x:f>
        <x:v/>
      </x:c>
      <x:c r="BA126" s="377" t="str">
        <x:f>IF($AK126="","",COUNTIF('3. 일출(의존)'!$AN$7:$AN$1989,$AK126))</x:f>
        <x:v/>
      </x:c>
      <x:c r="BB126" s="374" t="str">
        <x:f t="shared" si="178"/>
        <x:v/>
      </x:c>
      <x:c r="BC126" s="472" t="str">
        <x:f>IF($AN126="","",IF($AO126="지역개발기금",SUMIFS('3. 일출(의존)'!$AK$8:$AK$2000,'3. 일출(의존)'!$AS$8:$AS$2000,$AN126)+SUMIFS('3. 일출(자체)'!$AJ$8:$AJ$2000,'3. 일출(자체)'!$AM$8:$AM$2000,$AN126),IF($AO126="지방채",SUMIFS('3. 일출(의존)'!$AJ$8:$AJ$2000,'3. 일출(의존)'!$AS$8:$AS$2000,$AN126)+SUMIFS('3. 일출(자체)'!$AI$8:$AI$2000,'3. 일출(자체)'!$AM$8:$AM$2000,$AN126),0)))</x:f>
        <x:v/>
      </x:c>
      <x:c r="BD126" s="377" t="str">
        <x:f>IF($AN126="","",COUNTIF('3. 일출(의존)'!$AS$8:$AS$2000,$AN126)+COUNTIF('3. 일출(자체)'!$AM$8:$AM$2000,$AN126))</x:f>
        <x:v/>
      </x:c>
      <x:c r="BE126" s="374" t="str">
        <x:f t="shared" si="179"/>
        <x:v/>
      </x:c>
    </x:row>
    <x:row r="127" spans="1:57" ht="60" customHeight="1">
      <x:c r="A127" s="210"/>
      <x:c r="B127" s="951" t="s">
        <x:v>1521</x:v>
      </x:c>
      <x:c r="C127" s="951"/>
      <x:c r="D127" s="951"/>
      <x:c r="E127" s="951"/>
      <x:c r="F127" s="951"/>
      <x:c r="G127" s="951"/>
      <x:c r="H127" s="210"/>
      <x:c r="I127" s="79"/>
      <x:c r="J127" s="409" t="str">
        <x:f>SUBTOTAL(3,J128:J143)&amp;"건"</x:f>
        <x:v>0건</x:v>
      </x:c>
      <x:c r="K127" s="458">
        <x:f t="shared" ref="K127:L127" si="183">SUBTOTAL(9,K128:K143)</x:f>
        <x:v>0</x:v>
      </x:c>
      <x:c r="L127" s="458">
        <x:f t="shared" si="183"/>
        <x:v>0</x:v>
      </x:c>
      <x:c r="M127" s="458">
        <x:f t="shared" ref="M127:Q127" si="184">SUBTOTAL(9,M128:M143)</x:f>
        <x:v>0</x:v>
      </x:c>
      <x:c r="N127" s="458">
        <x:f t="shared" si="184"/>
        <x:v>0</x:v>
      </x:c>
      <x:c r="O127" s="458">
        <x:f t="shared" si="184"/>
        <x:v>0</x:v>
      </x:c>
      <x:c r="P127" s="458">
        <x:f t="shared" si="184"/>
        <x:v>0</x:v>
      </x:c>
      <x:c r="Q127" s="458">
        <x:f t="shared" si="184"/>
        <x:v>0</x:v>
      </x:c>
      <x:c r="R127" s="78"/>
      <x:c r="S127" s="78"/>
      <x:c r="T127" s="78"/>
      <x:c r="U127" s="78"/>
      <x:c r="V127" s="78"/>
      <x:c r="W127" s="78"/>
      <x:c r="X127" s="78"/>
      <x:c r="Y127" s="80"/>
      <x:c r="Z127" s="43"/>
      <x:c r="AA127" s="470">
        <x:f>SUBTOTAL(9,AA128:AA143)</x:f>
        <x:v>0</x:v>
      </x:c>
      <x:c r="AB127" s="470">
        <x:f t="shared" ref="AB127:AD127" si="185">SUBTOTAL(9,AB128:AB143)</x:f>
        <x:v>0</x:v>
      </x:c>
      <x:c r="AC127" s="470">
        <x:f t="shared" si="185"/>
        <x:v>0</x:v>
      </x:c>
      <x:c r="AD127" s="470">
        <x:f t="shared" si="185"/>
        <x:v>0</x:v>
      </x:c>
      <x:c r="AE127" s="166"/>
      <x:c r="AF127" s="470">
        <x:f>SUBTOTAL(9,AF128:AF143)</x:f>
        <x:v>0</x:v>
      </x:c>
      <x:c r="AG127" s="470">
        <x:f t="shared" ref="AG127:AI127" si="186">SUBTOTAL(9,AG128:AG143)</x:f>
        <x:v>0</x:v>
      </x:c>
      <x:c r="AH127" s="470">
        <x:f t="shared" si="186"/>
        <x:v>0</x:v>
      </x:c>
      <x:c r="AI127" s="470">
        <x:f t="shared" si="186"/>
        <x:v>0</x:v>
      </x:c>
      <x:c r="AJ127" s="53"/>
      <x:c r="AK127" s="80"/>
      <x:c r="AL127" s="80"/>
      <x:c r="AM127" s="53"/>
      <x:c r="AN127" s="80"/>
      <x:c r="AO127" s="80"/>
      <x:c r="AP127" s="53"/>
      <x:c r="AQ127" s="80"/>
      <x:c r="AR127" s="53"/>
      <x:c r="AS127" s="470">
        <x:f>SUBTOTAL(9,AS128:AS143)</x:f>
        <x:v>0</x:v>
      </x:c>
      <x:c r="AT127" s="470">
        <x:f>SUBTOTAL(9,AT128:AT143)</x:f>
        <x:v>0</x:v>
      </x:c>
      <x:c r="AU127" s="554" t="str">
        <x:f>IF(COUNTIF(AU128:AU143,"@@")&gt;0,"@@","OK")</x:f>
        <x:v>OK</x:v>
      </x:c>
      <x:c r="AV127" s="470">
        <x:f>SUBTOTAL(9,AV128:AV143)</x:f>
        <x:v>0</x:v>
      </x:c>
      <x:c r="AW127" s="470">
        <x:f>SUBTOTAL(9,AW128:AW143)</x:f>
        <x:v>0</x:v>
      </x:c>
      <x:c r="AX127" s="554" t="str">
        <x:f>IF(COUNTIF(AX128:AX143,"@@")&gt;0,"@@","OK")</x:f>
        <x:v>OK</x:v>
      </x:c>
      <x:c r="AY127" s="53"/>
      <x:c r="AZ127" s="470">
        <x:f>SUBTOTAL(9,AZ128:AZ143)</x:f>
        <x:v>0</x:v>
      </x:c>
      <x:c r="BA127" s="470">
        <x:f>SUBTOTAL(9,BA128:BA143)</x:f>
        <x:v>0</x:v>
      </x:c>
      <x:c r="BB127" s="554" t="str">
        <x:f>IF(COUNTIF(BB128:BB143,"@@")&gt;0,"@@","OK")</x:f>
        <x:v>OK</x:v>
      </x:c>
      <x:c r="BC127" s="470">
        <x:f>SUBTOTAL(9,BC128:BC143)</x:f>
        <x:v>0</x:v>
      </x:c>
      <x:c r="BD127" s="470">
        <x:f>SUBTOTAL(9,BD128:BD143)</x:f>
        <x:v>0</x:v>
      </x:c>
      <x:c r="BE127" s="554" t="str">
        <x:f>IF(COUNTIF(BE128:BE143,"@@")&gt;0,"@@","OK")</x:f>
        <x:v>OK</x:v>
      </x:c>
    </x:row>
    <x:row r="128" spans="1:57" s="20" customFormat="1" ht="80.099999999999994" customHeight="1">
      <x:c r="A128" s="155" t="str">
        <x:f>IF(D128="","",COUNTA($C$8:C128)-COUNTBLANK($C$8:C128)+8)</x:f>
        <x:v/>
      </x:c>
      <x:c r="B128" s="156" t="str">
        <x: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x:f>
        <x:v/>
      </x:c>
      <x:c r="C128" s="156" t="str">
        <x:f>IF(D128="","",IF(OR(D128="교육지원과",D128="총무과",D128="인사과"),"직접입력",VLOOKUP(D128,구분표!$A$3:$C$258,3,)))</x:f>
        <x:v/>
      </x:c>
      <x:c r="D128" s="219"/>
      <x:c r="E128" s="213"/>
      <x:c r="F128" s="388" t="str">
        <x:f>IF($E128="","",IF($E128="2추","직접입력","-"))</x:f>
        <x:v/>
      </x:c>
      <x:c r="G128" s="388" t="str">
        <x:f>IF($E128="","",IF($E128="2추","직접입력","-"))</x:f>
        <x:v/>
      </x:c>
      <x:c r="H128" s="213"/>
      <x:c r="I128" s="156" t="str">
        <x:f>IF(H128="","",VLOOKUP($H128,구분표!$O$3:$P$168,2,FALSE))</x:f>
        <x:v/>
      </x:c>
      <x:c r="J128" s="215"/>
      <x:c r="K128" s="459" t="str">
        <x:f>IF($E128="","",IF(OR($E128="2추",$E128="1추",$E128="본예산"),"금액입력","-"))</x:f>
        <x:v/>
      </x:c>
      <x:c r="L128" s="459" t="str">
        <x:f>IF($E128="","",IF($E128="2추","금액입력","-"))</x:f>
        <x:v/>
      </x:c>
      <x:c r="M128" s="461" t="str">
        <x:f t="shared" ref="M128:M143" si="187">IF($E128="","",SUM(K128:L128))</x:f>
        <x:v/>
      </x:c>
      <x:c r="N128" s="460"/>
      <x:c r="O128" s="461">
        <x:f t="shared" ref="O128:O143" si="188">SUM(M128:N128)</x:f>
        <x:v>0</x:v>
      </x:c>
      <x:c r="P128" s="462"/>
      <x:c r="Q128" s="463">
        <x:f t="shared" ref="Q128:Q143" si="189">SUM(M128,P128)</x:f>
        <x:v>0</x:v>
      </x:c>
      <x:c r="R128" s="162" t="str">
        <x:f t="shared" ref="R128:R143" si="190">IF(AND((O128=0),(Q128&gt;0)),"O",IF(AND((N128&lt;0),(O128-Q128&lt;0)),"O","X"))</x:f>
        <x:v>X</x:v>
      </x:c>
      <x:c r="S128" s="216"/>
      <x:c r="T128" s="327"/>
      <x:c r="U128" s="217"/>
      <x:c r="V128" s="203"/>
      <x:c r="W128" s="217"/>
      <x:c r="X128" s="217"/>
      <x:c r="Y128" s="162" t="str">
        <x:f t="shared" ref="Y128:Y143" si="191">IF($H128="","",IF(OR($H128="511-01",$H128="511-02",$H128="511-03",$H128="311-02",$H128="311-04",$H128="321-01"),"국비","도비"))</x:f>
        <x:v/>
      </x:c>
      <x:c r="Z128" s="45"/>
      <x:c r="AA128" s="471" t="str">
        <x:f t="shared" ref="AA128:AA143" si="192">IF($Y128="국비",IF($N128&lt;&gt;"",$N128,0),"")</x:f>
        <x:v/>
      </x:c>
      <x:c r="AB128" s="471" t="str">
        <x:f t="shared" ref="AB128:AB143" si="193">IF($Y128="도비",IF($AO128="자체",IF($N128&lt;&gt;"",$N128,0),""),"")</x:f>
        <x:v/>
      </x:c>
      <x:c r="AC128" s="471" t="str">
        <x:f t="shared" ref="AC128:AC143" si="194">IF($Y128="도비",IF($AO128="지방채",IF($N128&lt;&gt;"",$N128,0),""),"")</x:f>
        <x:v/>
      </x:c>
      <x:c r="AD128" s="471" t="str">
        <x:f t="shared" ref="AD128:AD143" si="195">IF($Y128="도비",IF($AO128="지역개발기금",IF($N128&lt;&gt;"",$N128,0),""),"")</x:f>
        <x:v/>
      </x:c>
      <x:c r="AE128" s="46"/>
      <x:c r="AF128" s="471" t="str">
        <x:f t="shared" ref="AF128:AF143" si="196">IF($Y128="국비",IF($P128&lt;&gt;"",$P128,0),"")</x:f>
        <x:v/>
      </x:c>
      <x:c r="AG128" s="471" t="str">
        <x:f t="shared" ref="AG128:AG143" si="197">IF($Y128="도비",IF($AO128="자체",IF($P128&lt;&gt;"",$P128,0),""),"")</x:f>
        <x:v/>
      </x:c>
      <x:c r="AH128" s="471" t="str">
        <x:f t="shared" ref="AH128:AH143" si="198">IF($Y128="도비",IF($AO128="지방채",IF($P128&lt;&gt;"",$P128,0),""),"")</x:f>
        <x:v/>
      </x:c>
      <x:c r="AI128" s="471" t="str">
        <x:f t="shared" ref="AI128:AI143" si="199">IF($Y128="도비",IF($AO128="지역개발기금",IF($P128&lt;&gt;"",$P128,0),""),"")</x:f>
        <x:v/>
      </x:c>
      <x:c r="AJ128" s="87"/>
      <x:c r="AK128" s="374" t="str">
        <x:f>IF($AQ128="","",IF(OR($AL128="",$AL128="도비"),"",CONCATENATE($AQ128,"-",COUNTIF($AQ$8:$AQ128,$AQ128))))</x:f>
        <x:v/>
      </x:c>
      <x:c r="AL128" s="374" t="str">
        <x:f t="shared" ref="AL128:AL143" si="200">IF($H128="","",IF($H128="511-01","국비",IF($H128="511-02","균특",IF($H128="511-03","기금",IF($H128="311-02","특교",IF($H128="311-04","소교",IF($H128="321-01","소멸","도비")))))))</x:f>
        <x:v/>
      </x:c>
      <x:c r="AM128" s="87"/>
      <x:c r="AN128" s="375" t="str">
        <x:f>IF($AQ128="","",IF(OR($AO128="",$AO128="국비",$AO128="자체"),"",CONCATENATE($AQ128,"-",$AO128,"-",COUNTIF($AQ$8:$AQ128,$AQ128))))</x:f>
        <x:v/>
      </x:c>
      <x:c r="AO128" s="375" t="str">
        <x:f t="shared" ref="AO128:AO143" si="201">IF($Y128="","",IF($Y128="국비","국비",IF($H128="612-01","지방채",IF($H128="722-02","지역개발기금","자체"))))</x:f>
        <x:v/>
      </x:c>
      <x:c r="AP128" s="87"/>
      <x:c r="AQ128" s="374" t="str">
        <x:f t="array" ref="AQ128:AQ128">IF(OR($D128="",$C128="직접입력",$B128="직접입력"),"",INDEX(구분표!$I$2:$I$337,MATCH(1,(구분표!$G$2:$G$337='3. 일입'!$B128)*(구분표!$E$2:$E$337='3. 일입'!$C128)*(구분표!$F$2:$F$337='3. 일입'!$D128),0)))</x:f>
        <x:v/>
      </x:c>
      <x:c r="AR128" s="87"/>
      <x:c r="AS128" s="472" t="str">
        <x:f>IF($AK128="","",SUMIFS('3. 일출(의존)'!$AB$7:$AB$1989,'3. 일출(의존)'!$AN$7:$AN$1989,$AK128))</x:f>
        <x:v/>
      </x:c>
      <x:c r="AT128" s="377" t="str">
        <x:f>IF($AK128="","",COUNTIF('3. 일출(의존)'!$AN$7:$AN$1989,$AK128))</x:f>
        <x:v/>
      </x:c>
      <x:c r="AU128" s="374" t="str">
        <x:f t="shared" ref="AU128:AU143" si="202">IF($AK128="","",IF($AA128=$AS128,"OK","@@"))</x:f>
        <x:v/>
      </x:c>
      <x:c r="AV128" s="472" t="str">
        <x:f>IF($AN128="","",IF($AO128="지역개발기금",SUMIFS('3. 일출(의존)'!$AE$8:$AE$2000,'3. 일출(의존)'!$AS$8:$AS$2000,$AN128)+SUMIFS('3. 일출(자체)'!$AE$8:$AE$2000,'3. 일출(자체)'!$AM$8:$AM$2000,$AN128),IF($AO128="지방채",SUMIFS('3. 일출(의존)'!$AD$8:$AD$2000,'3. 일출(의존)'!$AS$8:$AS$2000,$AN128)+SUMIFS('3. 일출(자체)'!$AD$8:$AD$2000,'3. 일출(자체)'!$AM$8:$AM$2000,$AN128),0)))</x:f>
        <x:v/>
      </x:c>
      <x:c r="AW128" s="377" t="str">
        <x:f>IF($AN128="","",COUNTIF('3. 일출(의존)'!$AS$8:$AS$2000,$AN128)+COUNTIF('3. 일출(자체)'!$AM$8:$AM$2000,$AN128))</x:f>
        <x:v/>
      </x:c>
      <x:c r="AX128" s="374" t="str">
        <x:f t="shared" ref="AX128:AX143" si="203">IF($AN128="","",IF($AO128="자체","",IF($AO128="지방채",IF($AC128=$AV128,"OK","@@"),IF($AO128="지역개발기금",IF($AD128=$AV128,"OK","@@"),"@@"))))</x:f>
        <x:v/>
      </x:c>
      <x:c r="AY128" s="91"/>
      <x:c r="AZ128" s="472" t="str">
        <x:f>IF($AK128="","",SUMIFS('3. 일출(의존)'!$AH$8:$AH$1989,'3. 일출(의존)'!$AN$8:$AN$1989,$AK128))</x:f>
        <x:v/>
      </x:c>
      <x:c r="BA128" s="377" t="str">
        <x:f>IF($AK128="","",COUNTIF('3. 일출(의존)'!$AN$7:$AN$1989,$AK128))</x:f>
        <x:v/>
      </x:c>
      <x:c r="BB128" s="374" t="str">
        <x:f t="shared" ref="BB128:BB143" si="204">IF($AK128="","",IF($AF128=$AZ128,"OK","@@"))</x:f>
        <x:v/>
      </x:c>
      <x:c r="BC128" s="472" t="str">
        <x:f>IF($AN128="","",IF($AO128="지역개발기금",SUMIFS('3. 일출(의존)'!$AK$8:$AK$2000,'3. 일출(의존)'!$AS$8:$AS$2000,$AN128)+SUMIFS('3. 일출(자체)'!$AJ$8:$AJ$2000,'3. 일출(자체)'!$AM$8:$AM$2000,$AN128),IF($AO128="지방채",SUMIFS('3. 일출(의존)'!$AJ$8:$AJ$2000,'3. 일출(의존)'!$AS$8:$AS$2000,$AN128)+SUMIFS('3. 일출(자체)'!$AI$8:$AI$2000,'3. 일출(자체)'!$AM$8:$AM$2000,$AN128),0)))</x:f>
        <x:v/>
      </x:c>
      <x:c r="BD128" s="377" t="str">
        <x:f>IF($AN128="","",COUNTIF('3. 일출(의존)'!$AS$8:$AS$2000,$AN128)+COUNTIF('3. 일출(자체)'!$AM$8:$AM$2000,$AN128))</x:f>
        <x:v/>
      </x:c>
      <x:c r="BE128" s="374" t="str">
        <x:f t="shared" ref="BE128:BE143" si="205">IF($AN128="","",IF($AO128="자체","",IF($AO128="지방채",IF($AH128=$BC128,"OK","@@"),IF($AO128="지역개발기금",IF($AI128=$BC128,"OK","@@"),"@@"))))</x:f>
        <x:v/>
      </x:c>
    </x:row>
    <x:row r="129" spans="1:57" s="20" customFormat="1" ht="80.099999999999994" customHeight="1">
      <x:c r="A129" s="155" t="str">
        <x:f>IF(D129="","",COUNTA($C$8:C129)-COUNTBLANK($C$8:C129)+8)</x:f>
        <x:v/>
      </x:c>
      <x:c r="B129" s="156" t="str">
        <x: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x:f>
        <x:v/>
      </x:c>
      <x:c r="C129" s="156" t="str">
        <x:f>IF(D129="","",IF(OR(D129="교육지원과",D129="총무과",D129="인사과"),"직접입력",VLOOKUP(D129,구분표!$A$3:$C$258,3,)))</x:f>
        <x:v/>
      </x:c>
      <x:c r="D129" s="219"/>
      <x:c r="E129" s="213"/>
      <x:c r="F129" s="388" t="str">
        <x:f t="shared" ref="F129:G143" si="206">IF($E129="","",IF($E129="2추","직접입력","-"))</x:f>
        <x:v/>
      </x:c>
      <x:c r="G129" s="388" t="str">
        <x:f t="shared" si="206"/>
        <x:v/>
      </x:c>
      <x:c r="H129" s="213"/>
      <x:c r="I129" s="156" t="str">
        <x:f>IF(H129="","",VLOOKUP($H129,구분표!$O$3:$P$168,2,FALSE))</x:f>
        <x:v/>
      </x:c>
      <x:c r="J129" s="215"/>
      <x:c r="K129" s="459" t="str">
        <x:f t="shared" ref="K129:K143" si="207">IF($E129="","",IF(OR($E129="2추",$E129="1추",$E129="본예산"),"금액입력","-"))</x:f>
        <x:v/>
      </x:c>
      <x:c r="L129" s="459" t="str">
        <x:f t="shared" ref="L129:L143" si="208">IF($E129="","",IF($E129="2추","금액입력","-"))</x:f>
        <x:v/>
      </x:c>
      <x:c r="M129" s="461" t="str">
        <x:f t="shared" si="187"/>
        <x:v/>
      </x:c>
      <x:c r="N129" s="460"/>
      <x:c r="O129" s="461">
        <x:f t="shared" si="188"/>
        <x:v>0</x:v>
      </x:c>
      <x:c r="P129" s="462"/>
      <x:c r="Q129" s="463">
        <x:f t="shared" si="189"/>
        <x:v>0</x:v>
      </x:c>
      <x:c r="R129" s="162" t="str">
        <x:f t="shared" si="190"/>
        <x:v>X</x:v>
      </x:c>
      <x:c r="S129" s="216"/>
      <x:c r="T129" s="327"/>
      <x:c r="U129" s="217"/>
      <x:c r="V129" s="203"/>
      <x:c r="W129" s="217"/>
      <x:c r="X129" s="217"/>
      <x:c r="Y129" s="162" t="str">
        <x:f t="shared" si="191"/>
        <x:v/>
      </x:c>
      <x:c r="Z129" s="45"/>
      <x:c r="AA129" s="471" t="str">
        <x:f t="shared" si="192"/>
        <x:v/>
      </x:c>
      <x:c r="AB129" s="471" t="str">
        <x:f t="shared" si="193"/>
        <x:v/>
      </x:c>
      <x:c r="AC129" s="471" t="str">
        <x:f t="shared" si="194"/>
        <x:v/>
      </x:c>
      <x:c r="AD129" s="471" t="str">
        <x:f t="shared" si="195"/>
        <x:v/>
      </x:c>
      <x:c r="AE129" s="46"/>
      <x:c r="AF129" s="471" t="str">
        <x:f t="shared" si="196"/>
        <x:v/>
      </x:c>
      <x:c r="AG129" s="471" t="str">
        <x:f t="shared" si="197"/>
        <x:v/>
      </x:c>
      <x:c r="AH129" s="471" t="str">
        <x:f t="shared" si="198"/>
        <x:v/>
      </x:c>
      <x:c r="AI129" s="471" t="str">
        <x:f t="shared" si="199"/>
        <x:v/>
      </x:c>
      <x:c r="AJ129" s="87"/>
      <x:c r="AK129" s="374" t="str">
        <x:f>IF($AQ129="","",IF(OR($AL129="",$AL129="도비"),"",CONCATENATE($AQ129,"-",COUNTIF($AQ$8:$AQ129,$AQ129))))</x:f>
        <x:v/>
      </x:c>
      <x:c r="AL129" s="374" t="str">
        <x:f t="shared" si="200"/>
        <x:v/>
      </x:c>
      <x:c r="AM129" s="87"/>
      <x:c r="AN129" s="375" t="str">
        <x:f>IF($AQ129="","",IF(OR($AO129="",$AO129="국비",$AO129="자체"),"",CONCATENATE($AQ129,"-",$AO129,"-",COUNTIF($AQ$8:$AQ129,$AQ129))))</x:f>
        <x:v/>
      </x:c>
      <x:c r="AO129" s="375" t="str">
        <x:f t="shared" si="201"/>
        <x:v/>
      </x:c>
      <x:c r="AP129" s="87"/>
      <x:c r="AQ129" s="374" t="str">
        <x:f t="array" ref="AQ129:AQ129">IF(OR($D129="",$C129="직접입력",$B129="직접입력"),"",INDEX(구분표!$I$2:$I$337,MATCH(1,(구분표!$G$2:$G$337='3. 일입'!$B129)*(구분표!$E$2:$E$337='3. 일입'!$C129)*(구분표!$F$2:$F$337='3. 일입'!$D129),0)))</x:f>
        <x:v/>
      </x:c>
      <x:c r="AR129" s="87"/>
      <x:c r="AS129" s="472" t="str">
        <x:f>IF($AK129="","",SUMIFS('3. 일출(의존)'!$AB$7:$AB$1989,'3. 일출(의존)'!$AN$7:$AN$1989,$AK129))</x:f>
        <x:v/>
      </x:c>
      <x:c r="AT129" s="377" t="str">
        <x:f>IF($AK129="","",COUNTIF('3. 일출(의존)'!$AN$7:$AN$1989,$AK129))</x:f>
        <x:v/>
      </x:c>
      <x:c r="AU129" s="374" t="str">
        <x:f t="shared" si="202"/>
        <x:v/>
      </x:c>
      <x:c r="AV129" s="472" t="str">
        <x:f>IF($AN129="","",IF($AO129="지역개발기금",SUMIFS('3. 일출(의존)'!$AE$8:$AE$2000,'3. 일출(의존)'!$AS$8:$AS$2000,$AN129)+SUMIFS('3. 일출(자체)'!$AE$8:$AE$2000,'3. 일출(자체)'!$AM$8:$AM$2000,$AN129),IF($AO129="지방채",SUMIFS('3. 일출(의존)'!$AD$8:$AD$2000,'3. 일출(의존)'!$AS$8:$AS$2000,$AN129)+SUMIFS('3. 일출(자체)'!$AD$8:$AD$2000,'3. 일출(자체)'!$AM$8:$AM$2000,$AN129),0)))</x:f>
        <x:v/>
      </x:c>
      <x:c r="AW129" s="377" t="str">
        <x:f>IF($AN129="","",COUNTIF('3. 일출(의존)'!$AS$8:$AS$2000,$AN129)+COUNTIF('3. 일출(자체)'!$AM$8:$AM$2000,$AN129))</x:f>
        <x:v/>
      </x:c>
      <x:c r="AX129" s="374" t="str">
        <x:f t="shared" si="203"/>
        <x:v/>
      </x:c>
      <x:c r="AY129" s="91"/>
      <x:c r="AZ129" s="472" t="str">
        <x:f>IF($AK129="","",SUMIFS('3. 일출(의존)'!$AH$8:$AH$1989,'3. 일출(의존)'!$AN$8:$AN$1989,$AK129))</x:f>
        <x:v/>
      </x:c>
      <x:c r="BA129" s="377" t="str">
        <x:f>IF($AK129="","",COUNTIF('3. 일출(의존)'!$AN$7:$AN$1989,$AK129))</x:f>
        <x:v/>
      </x:c>
      <x:c r="BB129" s="374" t="str">
        <x:f t="shared" si="204"/>
        <x:v/>
      </x:c>
      <x:c r="BC129" s="472" t="str">
        <x:f>IF($AN129="","",IF($AO129="지역개발기금",SUMIFS('3. 일출(의존)'!$AK$8:$AK$2000,'3. 일출(의존)'!$AS$8:$AS$2000,$AN129)+SUMIFS('3. 일출(자체)'!$AJ$8:$AJ$2000,'3. 일출(자체)'!$AM$8:$AM$2000,$AN129),IF($AO129="지방채",SUMIFS('3. 일출(의존)'!$AJ$8:$AJ$2000,'3. 일출(의존)'!$AS$8:$AS$2000,$AN129)+SUMIFS('3. 일출(자체)'!$AI$8:$AI$2000,'3. 일출(자체)'!$AM$8:$AM$2000,$AN129),0)))</x:f>
        <x:v/>
      </x:c>
      <x:c r="BD129" s="377" t="str">
        <x:f>IF($AN129="","",COUNTIF('3. 일출(의존)'!$AS$8:$AS$2000,$AN129)+COUNTIF('3. 일출(자체)'!$AM$8:$AM$2000,$AN129))</x:f>
        <x:v/>
      </x:c>
      <x:c r="BE129" s="374" t="str">
        <x:f t="shared" si="205"/>
        <x:v/>
      </x:c>
    </x:row>
    <x:row r="130" spans="1:57" s="20" customFormat="1" ht="80.099999999999994" customHeight="1">
      <x:c r="A130" s="155" t="str">
        <x:f>IF(D130="","",COUNTA($C$8:C130)-COUNTBLANK($C$8:C130)+8)</x:f>
        <x:v/>
      </x:c>
      <x:c r="B130" s="156" t="str">
        <x: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x:f>
        <x:v/>
      </x:c>
      <x:c r="C130" s="156" t="str">
        <x:f>IF(D130="","",IF(OR(D130="교육지원과",D130="총무과",D130="인사과"),"직접입력",VLOOKUP(D130,구분표!$A$3:$C$258,3,)))</x:f>
        <x:v/>
      </x:c>
      <x:c r="D130" s="219"/>
      <x:c r="E130" s="213"/>
      <x:c r="F130" s="388" t="str">
        <x:f t="shared" si="206"/>
        <x:v/>
      </x:c>
      <x:c r="G130" s="388" t="str">
        <x:f t="shared" si="206"/>
        <x:v/>
      </x:c>
      <x:c r="H130" s="213"/>
      <x:c r="I130" s="156" t="str">
        <x:f>IF(H130="","",VLOOKUP($H130,구분표!$O$3:$P$168,2,FALSE))</x:f>
        <x:v/>
      </x:c>
      <x:c r="J130" s="215"/>
      <x:c r="K130" s="459" t="str">
        <x:f t="shared" si="207"/>
        <x:v/>
      </x:c>
      <x:c r="L130" s="459" t="str">
        <x:f t="shared" si="208"/>
        <x:v/>
      </x:c>
      <x:c r="M130" s="461" t="str">
        <x:f t="shared" si="187"/>
        <x:v/>
      </x:c>
      <x:c r="N130" s="460"/>
      <x:c r="O130" s="461">
        <x:f t="shared" si="188"/>
        <x:v>0</x:v>
      </x:c>
      <x:c r="P130" s="462"/>
      <x:c r="Q130" s="463">
        <x:f t="shared" si="189"/>
        <x:v>0</x:v>
      </x:c>
      <x:c r="R130" s="162" t="str">
        <x:f t="shared" si="190"/>
        <x:v>X</x:v>
      </x:c>
      <x:c r="S130" s="216"/>
      <x:c r="T130" s="327"/>
      <x:c r="U130" s="217"/>
      <x:c r="V130" s="203"/>
      <x:c r="W130" s="217"/>
      <x:c r="X130" s="217"/>
      <x:c r="Y130" s="162" t="str">
        <x:f t="shared" si="191"/>
        <x:v/>
      </x:c>
      <x:c r="Z130" s="45"/>
      <x:c r="AA130" s="471" t="str">
        <x:f t="shared" si="192"/>
        <x:v/>
      </x:c>
      <x:c r="AB130" s="471" t="str">
        <x:f t="shared" si="193"/>
        <x:v/>
      </x:c>
      <x:c r="AC130" s="471" t="str">
        <x:f t="shared" si="194"/>
        <x:v/>
      </x:c>
      <x:c r="AD130" s="471" t="str">
        <x:f t="shared" si="195"/>
        <x:v/>
      </x:c>
      <x:c r="AE130" s="46"/>
      <x:c r="AF130" s="471" t="str">
        <x:f t="shared" si="196"/>
        <x:v/>
      </x:c>
      <x:c r="AG130" s="471" t="str">
        <x:f t="shared" si="197"/>
        <x:v/>
      </x:c>
      <x:c r="AH130" s="471" t="str">
        <x:f t="shared" si="198"/>
        <x:v/>
      </x:c>
      <x:c r="AI130" s="471" t="str">
        <x:f t="shared" si="199"/>
        <x:v/>
      </x:c>
      <x:c r="AJ130" s="87"/>
      <x:c r="AK130" s="374" t="str">
        <x:f>IF($AQ130="","",IF(OR($AL130="",$AL130="도비"),"",CONCATENATE($AQ130,"-",COUNTIF($AQ$8:$AQ130,$AQ130))))</x:f>
        <x:v/>
      </x:c>
      <x:c r="AL130" s="374" t="str">
        <x:f t="shared" si="200"/>
        <x:v/>
      </x:c>
      <x:c r="AM130" s="87"/>
      <x:c r="AN130" s="375" t="str">
        <x:f>IF($AQ130="","",IF(OR($AO130="",$AO130="국비",$AO130="자체"),"",CONCATENATE($AQ130,"-",$AO130,"-",COUNTIF($AQ$8:$AQ130,$AQ130))))</x:f>
        <x:v/>
      </x:c>
      <x:c r="AO130" s="375" t="str">
        <x:f t="shared" si="201"/>
        <x:v/>
      </x:c>
      <x:c r="AP130" s="87"/>
      <x:c r="AQ130" s="374" t="str">
        <x:f t="array" ref="AQ130:AQ130">IF(OR($D130="",$C130="직접입력",$B130="직접입력"),"",INDEX(구분표!$I$2:$I$337,MATCH(1,(구분표!$G$2:$G$337='3. 일입'!$B130)*(구분표!$E$2:$E$337='3. 일입'!$C130)*(구분표!$F$2:$F$337='3. 일입'!$D130),0)))</x:f>
        <x:v/>
      </x:c>
      <x:c r="AR130" s="87"/>
      <x:c r="AS130" s="472" t="str">
        <x:f>IF($AK130="","",SUMIFS('3. 일출(의존)'!$AB$7:$AB$1989,'3. 일출(의존)'!$AN$7:$AN$1989,$AK130))</x:f>
        <x:v/>
      </x:c>
      <x:c r="AT130" s="377" t="str">
        <x:f>IF($AK130="","",COUNTIF('3. 일출(의존)'!$AN$7:$AN$1989,$AK130))</x:f>
        <x:v/>
      </x:c>
      <x:c r="AU130" s="374" t="str">
        <x:f t="shared" si="202"/>
        <x:v/>
      </x:c>
      <x:c r="AV130" s="472" t="str">
        <x:f>IF($AN130="","",IF($AO130="지역개발기금",SUMIFS('3. 일출(의존)'!$AE$8:$AE$2000,'3. 일출(의존)'!$AS$8:$AS$2000,$AN130)+SUMIFS('3. 일출(자체)'!$AE$8:$AE$2000,'3. 일출(자체)'!$AM$8:$AM$2000,$AN130),IF($AO130="지방채",SUMIFS('3. 일출(의존)'!$AD$8:$AD$2000,'3. 일출(의존)'!$AS$8:$AS$2000,$AN130)+SUMIFS('3. 일출(자체)'!$AD$8:$AD$2000,'3. 일출(자체)'!$AM$8:$AM$2000,$AN130),0)))</x:f>
        <x:v/>
      </x:c>
      <x:c r="AW130" s="377" t="str">
        <x:f>IF($AN130="","",COUNTIF('3. 일출(의존)'!$AS$8:$AS$2000,$AN130)+COUNTIF('3. 일출(자체)'!$AM$8:$AM$2000,$AN130))</x:f>
        <x:v/>
      </x:c>
      <x:c r="AX130" s="374" t="str">
        <x:f t="shared" si="203"/>
        <x:v/>
      </x:c>
      <x:c r="AY130" s="91"/>
      <x:c r="AZ130" s="472" t="str">
        <x:f>IF($AK130="","",SUMIFS('3. 일출(의존)'!$AH$8:$AH$1989,'3. 일출(의존)'!$AN$8:$AN$1989,$AK130))</x:f>
        <x:v/>
      </x:c>
      <x:c r="BA130" s="377" t="str">
        <x:f>IF($AK130="","",COUNTIF('3. 일출(의존)'!$AN$7:$AN$1989,$AK130))</x:f>
        <x:v/>
      </x:c>
      <x:c r="BB130" s="374" t="str">
        <x:f t="shared" si="204"/>
        <x:v/>
      </x:c>
      <x:c r="BC130" s="472" t="str">
        <x:f>IF($AN130="","",IF($AO130="지역개발기금",SUMIFS('3. 일출(의존)'!$AK$8:$AK$2000,'3. 일출(의존)'!$AS$8:$AS$2000,$AN130)+SUMIFS('3. 일출(자체)'!$AJ$8:$AJ$2000,'3. 일출(자체)'!$AM$8:$AM$2000,$AN130),IF($AO130="지방채",SUMIFS('3. 일출(의존)'!$AJ$8:$AJ$2000,'3. 일출(의존)'!$AS$8:$AS$2000,$AN130)+SUMIFS('3. 일출(자체)'!$AI$8:$AI$2000,'3. 일출(자체)'!$AM$8:$AM$2000,$AN130),0)))</x:f>
        <x:v/>
      </x:c>
      <x:c r="BD130" s="377" t="str">
        <x:f>IF($AN130="","",COUNTIF('3. 일출(의존)'!$AS$8:$AS$2000,$AN130)+COUNTIF('3. 일출(자체)'!$AM$8:$AM$2000,$AN130))</x:f>
        <x:v/>
      </x:c>
      <x:c r="BE130" s="374" t="str">
        <x:f t="shared" si="205"/>
        <x:v/>
      </x:c>
    </x:row>
    <x:row r="131" spans="1:57" s="20" customFormat="1" ht="80.099999999999994" customHeight="1">
      <x:c r="A131" s="155" t="str">
        <x:f>IF(D131="","",COUNTA($C$8:C131)-COUNTBLANK($C$8:C131)+8)</x:f>
        <x:v/>
      </x:c>
      <x:c r="B131" s="156" t="str">
        <x: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x:f>
        <x:v/>
      </x:c>
      <x:c r="C131" s="156" t="str">
        <x:f>IF(D131="","",IF(OR(D131="교육지원과",D131="총무과",D131="인사과"),"직접입력",VLOOKUP(D131,구분표!$A$3:$C$258,3,)))</x:f>
        <x:v/>
      </x:c>
      <x:c r="D131" s="219"/>
      <x:c r="E131" s="213"/>
      <x:c r="F131" s="388" t="str">
        <x:f t="shared" si="206"/>
        <x:v/>
      </x:c>
      <x:c r="G131" s="388" t="str">
        <x:f t="shared" si="206"/>
        <x:v/>
      </x:c>
      <x:c r="H131" s="213"/>
      <x:c r="I131" s="156" t="str">
        <x:f>IF(H131="","",VLOOKUP($H131,구분표!$O$3:$P$168,2,FALSE))</x:f>
        <x:v/>
      </x:c>
      <x:c r="J131" s="215"/>
      <x:c r="K131" s="459" t="str">
        <x:f t="shared" si="207"/>
        <x:v/>
      </x:c>
      <x:c r="L131" s="459" t="str">
        <x:f t="shared" si="208"/>
        <x:v/>
      </x:c>
      <x:c r="M131" s="461" t="str">
        <x:f t="shared" si="187"/>
        <x:v/>
      </x:c>
      <x:c r="N131" s="460"/>
      <x:c r="O131" s="461">
        <x:f t="shared" si="188"/>
        <x:v>0</x:v>
      </x:c>
      <x:c r="P131" s="462"/>
      <x:c r="Q131" s="463">
        <x:f t="shared" si="189"/>
        <x:v>0</x:v>
      </x:c>
      <x:c r="R131" s="162" t="str">
        <x:f t="shared" si="190"/>
        <x:v>X</x:v>
      </x:c>
      <x:c r="S131" s="216"/>
      <x:c r="T131" s="327"/>
      <x:c r="U131" s="217"/>
      <x:c r="V131" s="203"/>
      <x:c r="W131" s="217"/>
      <x:c r="X131" s="217"/>
      <x:c r="Y131" s="162" t="str">
        <x:f t="shared" si="191"/>
        <x:v/>
      </x:c>
      <x:c r="Z131" s="45"/>
      <x:c r="AA131" s="471" t="str">
        <x:f t="shared" si="192"/>
        <x:v/>
      </x:c>
      <x:c r="AB131" s="471" t="str">
        <x:f t="shared" si="193"/>
        <x:v/>
      </x:c>
      <x:c r="AC131" s="471" t="str">
        <x:f t="shared" si="194"/>
        <x:v/>
      </x:c>
      <x:c r="AD131" s="471" t="str">
        <x:f t="shared" si="195"/>
        <x:v/>
      </x:c>
      <x:c r="AE131" s="46"/>
      <x:c r="AF131" s="471" t="str">
        <x:f t="shared" si="196"/>
        <x:v/>
      </x:c>
      <x:c r="AG131" s="471" t="str">
        <x:f t="shared" si="197"/>
        <x:v/>
      </x:c>
      <x:c r="AH131" s="471" t="str">
        <x:f t="shared" si="198"/>
        <x:v/>
      </x:c>
      <x:c r="AI131" s="471" t="str">
        <x:f t="shared" si="199"/>
        <x:v/>
      </x:c>
      <x:c r="AJ131" s="87"/>
      <x:c r="AK131" s="374" t="str">
        <x:f>IF($AQ131="","",IF(OR($AL131="",$AL131="도비"),"",CONCATENATE($AQ131,"-",COUNTIF($AQ$8:$AQ131,$AQ131))))</x:f>
        <x:v/>
      </x:c>
      <x:c r="AL131" s="374" t="str">
        <x:f t="shared" si="200"/>
        <x:v/>
      </x:c>
      <x:c r="AM131" s="87"/>
      <x:c r="AN131" s="375" t="str">
        <x:f>IF($AQ131="","",IF(OR($AO131="",$AO131="국비",$AO131="자체"),"",CONCATENATE($AQ131,"-",$AO131,"-",COUNTIF($AQ$8:$AQ131,$AQ131))))</x:f>
        <x:v/>
      </x:c>
      <x:c r="AO131" s="375" t="str">
        <x:f t="shared" si="201"/>
        <x:v/>
      </x:c>
      <x:c r="AP131" s="87"/>
      <x:c r="AQ131" s="374" t="str">
        <x:f t="array" ref="AQ131:AQ131">IF(OR($D131="",$C131="직접입력",$B131="직접입력"),"",INDEX(구분표!$I$2:$I$337,MATCH(1,(구분표!$G$2:$G$337='3. 일입'!$B131)*(구분표!$E$2:$E$337='3. 일입'!$C131)*(구분표!$F$2:$F$337='3. 일입'!$D131),0)))</x:f>
        <x:v/>
      </x:c>
      <x:c r="AR131" s="87"/>
      <x:c r="AS131" s="472" t="str">
        <x:f>IF($AK131="","",SUMIFS('3. 일출(의존)'!$AB$7:$AB$1989,'3. 일출(의존)'!$AN$7:$AN$1989,$AK131))</x:f>
        <x:v/>
      </x:c>
      <x:c r="AT131" s="377" t="str">
        <x:f>IF($AK131="","",COUNTIF('3. 일출(의존)'!$AN$7:$AN$1989,$AK131))</x:f>
        <x:v/>
      </x:c>
      <x:c r="AU131" s="374" t="str">
        <x:f t="shared" si="202"/>
        <x:v/>
      </x:c>
      <x:c r="AV131" s="472" t="str">
        <x:f>IF($AN131="","",IF($AO131="지역개발기금",SUMIFS('3. 일출(의존)'!$AE$8:$AE$2000,'3. 일출(의존)'!$AS$8:$AS$2000,$AN131)+SUMIFS('3. 일출(자체)'!$AE$8:$AE$2000,'3. 일출(자체)'!$AM$8:$AM$2000,$AN131),IF($AO131="지방채",SUMIFS('3. 일출(의존)'!$AD$8:$AD$2000,'3. 일출(의존)'!$AS$8:$AS$2000,$AN131)+SUMIFS('3. 일출(자체)'!$AD$8:$AD$2000,'3. 일출(자체)'!$AM$8:$AM$2000,$AN131),0)))</x:f>
        <x:v/>
      </x:c>
      <x:c r="AW131" s="377" t="str">
        <x:f>IF($AN131="","",COUNTIF('3. 일출(의존)'!$AS$8:$AS$2000,$AN131)+COUNTIF('3. 일출(자체)'!$AM$8:$AM$2000,$AN131))</x:f>
        <x:v/>
      </x:c>
      <x:c r="AX131" s="374" t="str">
        <x:f t="shared" si="203"/>
        <x:v/>
      </x:c>
      <x:c r="AY131" s="91"/>
      <x:c r="AZ131" s="472" t="str">
        <x:f>IF($AK131="","",SUMIFS('3. 일출(의존)'!$AH$8:$AH$1989,'3. 일출(의존)'!$AN$8:$AN$1989,$AK131))</x:f>
        <x:v/>
      </x:c>
      <x:c r="BA131" s="377" t="str">
        <x:f>IF($AK131="","",COUNTIF('3. 일출(의존)'!$AN$7:$AN$1989,$AK131))</x:f>
        <x:v/>
      </x:c>
      <x:c r="BB131" s="374" t="str">
        <x:f t="shared" si="204"/>
        <x:v/>
      </x:c>
      <x:c r="BC131" s="472" t="str">
        <x:f>IF($AN131="","",IF($AO131="지역개발기금",SUMIFS('3. 일출(의존)'!$AK$8:$AK$2000,'3. 일출(의존)'!$AS$8:$AS$2000,$AN131)+SUMIFS('3. 일출(자체)'!$AJ$8:$AJ$2000,'3. 일출(자체)'!$AM$8:$AM$2000,$AN131),IF($AO131="지방채",SUMIFS('3. 일출(의존)'!$AJ$8:$AJ$2000,'3. 일출(의존)'!$AS$8:$AS$2000,$AN131)+SUMIFS('3. 일출(자체)'!$AI$8:$AI$2000,'3. 일출(자체)'!$AM$8:$AM$2000,$AN131),0)))</x:f>
        <x:v/>
      </x:c>
      <x:c r="BD131" s="377" t="str">
        <x:f>IF($AN131="","",COUNTIF('3. 일출(의존)'!$AS$8:$AS$2000,$AN131)+COUNTIF('3. 일출(자체)'!$AM$8:$AM$2000,$AN131))</x:f>
        <x:v/>
      </x:c>
      <x:c r="BE131" s="374" t="str">
        <x:f t="shared" si="205"/>
        <x:v/>
      </x:c>
    </x:row>
    <x:row r="132" spans="1:57" s="20" customFormat="1" ht="80.099999999999994" customHeight="1">
      <x:c r="A132" s="155" t="str">
        <x:f>IF(D132="","",COUNTA($C$8:C132)-COUNTBLANK($C$8:C132)+8)</x:f>
        <x:v/>
      </x:c>
      <x:c r="B132" s="156" t="str">
        <x: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x:f>
        <x:v/>
      </x:c>
      <x:c r="C132" s="156" t="str">
        <x:f>IF(D132="","",IF(OR(D132="교육지원과",D132="총무과",D132="인사과"),"직접입력",VLOOKUP(D132,구분표!$A$3:$C$258,3,)))</x:f>
        <x:v/>
      </x:c>
      <x:c r="D132" s="219"/>
      <x:c r="E132" s="213"/>
      <x:c r="F132" s="388" t="str">
        <x:f t="shared" si="206"/>
        <x:v/>
      </x:c>
      <x:c r="G132" s="388" t="str">
        <x:f t="shared" si="206"/>
        <x:v/>
      </x:c>
      <x:c r="H132" s="213"/>
      <x:c r="I132" s="156" t="str">
        <x:f>IF(H132="","",VLOOKUP($H132,구분표!$O$3:$P$168,2,FALSE))</x:f>
        <x:v/>
      </x:c>
      <x:c r="J132" s="215"/>
      <x:c r="K132" s="459" t="str">
        <x:f t="shared" si="207"/>
        <x:v/>
      </x:c>
      <x:c r="L132" s="459" t="str">
        <x:f t="shared" si="208"/>
        <x:v/>
      </x:c>
      <x:c r="M132" s="461" t="str">
        <x:f t="shared" si="187"/>
        <x:v/>
      </x:c>
      <x:c r="N132" s="460"/>
      <x:c r="O132" s="461">
        <x:f t="shared" si="188"/>
        <x:v>0</x:v>
      </x:c>
      <x:c r="P132" s="462"/>
      <x:c r="Q132" s="463">
        <x:f t="shared" si="189"/>
        <x:v>0</x:v>
      </x:c>
      <x:c r="R132" s="162" t="str">
        <x:f t="shared" si="190"/>
        <x:v>X</x:v>
      </x:c>
      <x:c r="S132" s="216"/>
      <x:c r="T132" s="327"/>
      <x:c r="U132" s="217"/>
      <x:c r="V132" s="203"/>
      <x:c r="W132" s="217"/>
      <x:c r="X132" s="217"/>
      <x:c r="Y132" s="162" t="str">
        <x:f t="shared" si="191"/>
        <x:v/>
      </x:c>
      <x:c r="Z132" s="45"/>
      <x:c r="AA132" s="471" t="str">
        <x:f t="shared" si="192"/>
        <x:v/>
      </x:c>
      <x:c r="AB132" s="471" t="str">
        <x:f t="shared" si="193"/>
        <x:v/>
      </x:c>
      <x:c r="AC132" s="471" t="str">
        <x:f t="shared" si="194"/>
        <x:v/>
      </x:c>
      <x:c r="AD132" s="471" t="str">
        <x:f t="shared" si="195"/>
        <x:v/>
      </x:c>
      <x:c r="AE132" s="46"/>
      <x:c r="AF132" s="471" t="str">
        <x:f t="shared" si="196"/>
        <x:v/>
      </x:c>
      <x:c r="AG132" s="471" t="str">
        <x:f t="shared" si="197"/>
        <x:v/>
      </x:c>
      <x:c r="AH132" s="471" t="str">
        <x:f t="shared" si="198"/>
        <x:v/>
      </x:c>
      <x:c r="AI132" s="471" t="str">
        <x:f t="shared" si="199"/>
        <x:v/>
      </x:c>
      <x:c r="AJ132" s="87"/>
      <x:c r="AK132" s="374" t="str">
        <x:f>IF($AQ132="","",IF(OR($AL132="",$AL132="도비"),"",CONCATENATE($AQ132,"-",COUNTIF($AQ$8:$AQ132,$AQ132))))</x:f>
        <x:v/>
      </x:c>
      <x:c r="AL132" s="374" t="str">
        <x:f t="shared" si="200"/>
        <x:v/>
      </x:c>
      <x:c r="AM132" s="87"/>
      <x:c r="AN132" s="375" t="str">
        <x:f>IF($AQ132="","",IF(OR($AO132="",$AO132="국비",$AO132="자체"),"",CONCATENATE($AQ132,"-",$AO132,"-",COUNTIF($AQ$8:$AQ132,$AQ132))))</x:f>
        <x:v/>
      </x:c>
      <x:c r="AO132" s="375" t="str">
        <x:f t="shared" si="201"/>
        <x:v/>
      </x:c>
      <x:c r="AP132" s="87"/>
      <x:c r="AQ132" s="374" t="str">
        <x:f t="array" ref="AQ132:AQ132">IF(OR($D132="",$C132="직접입력",$B132="직접입력"),"",INDEX(구분표!$I$2:$I$337,MATCH(1,(구분표!$G$2:$G$337='3. 일입'!$B132)*(구분표!$E$2:$E$337='3. 일입'!$C132)*(구분표!$F$2:$F$337='3. 일입'!$D132),0)))</x:f>
        <x:v/>
      </x:c>
      <x:c r="AR132" s="87"/>
      <x:c r="AS132" s="472" t="str">
        <x:f>IF($AK132="","",SUMIFS('3. 일출(의존)'!$AB$7:$AB$1989,'3. 일출(의존)'!$AN$7:$AN$1989,$AK132))</x:f>
        <x:v/>
      </x:c>
      <x:c r="AT132" s="377" t="str">
        <x:f>IF($AK132="","",COUNTIF('3. 일출(의존)'!$AN$7:$AN$1989,$AK132))</x:f>
        <x:v/>
      </x:c>
      <x:c r="AU132" s="374" t="str">
        <x:f t="shared" si="202"/>
        <x:v/>
      </x:c>
      <x:c r="AV132" s="472" t="str">
        <x:f>IF($AN132="","",IF($AO132="지역개발기금",SUMIFS('3. 일출(의존)'!$AE$8:$AE$2000,'3. 일출(의존)'!$AS$8:$AS$2000,$AN132)+SUMIFS('3. 일출(자체)'!$AE$8:$AE$2000,'3. 일출(자체)'!$AM$8:$AM$2000,$AN132),IF($AO132="지방채",SUMIFS('3. 일출(의존)'!$AD$8:$AD$2000,'3. 일출(의존)'!$AS$8:$AS$2000,$AN132)+SUMIFS('3. 일출(자체)'!$AD$8:$AD$2000,'3. 일출(자체)'!$AM$8:$AM$2000,$AN132),0)))</x:f>
        <x:v/>
      </x:c>
      <x:c r="AW132" s="377" t="str">
        <x:f>IF($AN132="","",COUNTIF('3. 일출(의존)'!$AS$8:$AS$2000,$AN132)+COUNTIF('3. 일출(자체)'!$AM$8:$AM$2000,$AN132))</x:f>
        <x:v/>
      </x:c>
      <x:c r="AX132" s="374" t="str">
        <x:f t="shared" si="203"/>
        <x:v/>
      </x:c>
      <x:c r="AY132" s="91"/>
      <x:c r="AZ132" s="472" t="str">
        <x:f>IF($AK132="","",SUMIFS('3. 일출(의존)'!$AH$8:$AH$1989,'3. 일출(의존)'!$AN$8:$AN$1989,$AK132))</x:f>
        <x:v/>
      </x:c>
      <x:c r="BA132" s="377" t="str">
        <x:f>IF($AK132="","",COUNTIF('3. 일출(의존)'!$AN$7:$AN$1989,$AK132))</x:f>
        <x:v/>
      </x:c>
      <x:c r="BB132" s="374" t="str">
        <x:f t="shared" si="204"/>
        <x:v/>
      </x:c>
      <x:c r="BC132" s="472" t="str">
        <x:f>IF($AN132="","",IF($AO132="지역개발기금",SUMIFS('3. 일출(의존)'!$AK$8:$AK$2000,'3. 일출(의존)'!$AS$8:$AS$2000,$AN132)+SUMIFS('3. 일출(자체)'!$AJ$8:$AJ$2000,'3. 일출(자체)'!$AM$8:$AM$2000,$AN132),IF($AO132="지방채",SUMIFS('3. 일출(의존)'!$AJ$8:$AJ$2000,'3. 일출(의존)'!$AS$8:$AS$2000,$AN132)+SUMIFS('3. 일출(자체)'!$AI$8:$AI$2000,'3. 일출(자체)'!$AM$8:$AM$2000,$AN132),0)))</x:f>
        <x:v/>
      </x:c>
      <x:c r="BD132" s="377" t="str">
        <x:f>IF($AN132="","",COUNTIF('3. 일출(의존)'!$AS$8:$AS$2000,$AN132)+COUNTIF('3. 일출(자체)'!$AM$8:$AM$2000,$AN132))</x:f>
        <x:v/>
      </x:c>
      <x:c r="BE132" s="374" t="str">
        <x:f t="shared" si="205"/>
        <x:v/>
      </x:c>
    </x:row>
    <x:row r="133" spans="1:57" s="20" customFormat="1" ht="80.099999999999994" customHeight="1">
      <x:c r="A133" s="155" t="str">
        <x:f>IF(D133="","",COUNTA($C$8:C133)-COUNTBLANK($C$8:C133)+8)</x:f>
        <x:v/>
      </x:c>
      <x:c r="B133" s="156" t="str">
        <x: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x:f>
        <x:v/>
      </x:c>
      <x:c r="C133" s="156" t="str">
        <x:f>IF(D133="","",IF(OR(D133="교육지원과",D133="총무과",D133="인사과"),"직접입력",VLOOKUP(D133,구분표!$A$3:$C$258,3,)))</x:f>
        <x:v/>
      </x:c>
      <x:c r="D133" s="219"/>
      <x:c r="E133" s="213"/>
      <x:c r="F133" s="388" t="str">
        <x:f t="shared" si="206"/>
        <x:v/>
      </x:c>
      <x:c r="G133" s="388" t="str">
        <x:f t="shared" si="206"/>
        <x:v/>
      </x:c>
      <x:c r="H133" s="213"/>
      <x:c r="I133" s="156" t="str">
        <x:f>IF(H133="","",VLOOKUP($H133,구분표!$O$3:$P$168,2,FALSE))</x:f>
        <x:v/>
      </x:c>
      <x:c r="J133" s="215"/>
      <x:c r="K133" s="459" t="str">
        <x:f t="shared" si="207"/>
        <x:v/>
      </x:c>
      <x:c r="L133" s="459" t="str">
        <x:f t="shared" si="208"/>
        <x:v/>
      </x:c>
      <x:c r="M133" s="461" t="str">
        <x:f t="shared" si="187"/>
        <x:v/>
      </x:c>
      <x:c r="N133" s="460"/>
      <x:c r="O133" s="461">
        <x:f t="shared" si="188"/>
        <x:v>0</x:v>
      </x:c>
      <x:c r="P133" s="462"/>
      <x:c r="Q133" s="463">
        <x:f t="shared" si="189"/>
        <x:v>0</x:v>
      </x:c>
      <x:c r="R133" s="162" t="str">
        <x:f t="shared" si="190"/>
        <x:v>X</x:v>
      </x:c>
      <x:c r="S133" s="216"/>
      <x:c r="T133" s="327"/>
      <x:c r="U133" s="217"/>
      <x:c r="V133" s="203"/>
      <x:c r="W133" s="217"/>
      <x:c r="X133" s="217"/>
      <x:c r="Y133" s="162" t="str">
        <x:f t="shared" si="191"/>
        <x:v/>
      </x:c>
      <x:c r="Z133" s="45"/>
      <x:c r="AA133" s="471" t="str">
        <x:f t="shared" si="192"/>
        <x:v/>
      </x:c>
      <x:c r="AB133" s="471" t="str">
        <x:f t="shared" si="193"/>
        <x:v/>
      </x:c>
      <x:c r="AC133" s="471" t="str">
        <x:f t="shared" si="194"/>
        <x:v/>
      </x:c>
      <x:c r="AD133" s="471" t="str">
        <x:f t="shared" si="195"/>
        <x:v/>
      </x:c>
      <x:c r="AE133" s="46"/>
      <x:c r="AF133" s="471" t="str">
        <x:f t="shared" si="196"/>
        <x:v/>
      </x:c>
      <x:c r="AG133" s="471" t="str">
        <x:f t="shared" si="197"/>
        <x:v/>
      </x:c>
      <x:c r="AH133" s="471" t="str">
        <x:f t="shared" si="198"/>
        <x:v/>
      </x:c>
      <x:c r="AI133" s="471" t="str">
        <x:f t="shared" si="199"/>
        <x:v/>
      </x:c>
      <x:c r="AJ133" s="87"/>
      <x:c r="AK133" s="374" t="str">
        <x:f>IF($AQ133="","",IF(OR($AL133="",$AL133="도비"),"",CONCATENATE($AQ133,"-",COUNTIF($AQ$8:$AQ133,$AQ133))))</x:f>
        <x:v/>
      </x:c>
      <x:c r="AL133" s="374" t="str">
        <x:f t="shared" si="200"/>
        <x:v/>
      </x:c>
      <x:c r="AM133" s="87"/>
      <x:c r="AN133" s="375" t="str">
        <x:f>IF($AQ133="","",IF(OR($AO133="",$AO133="국비",$AO133="자체"),"",CONCATENATE($AQ133,"-",$AO133,"-",COUNTIF($AQ$8:$AQ133,$AQ133))))</x:f>
        <x:v/>
      </x:c>
      <x:c r="AO133" s="375" t="str">
        <x:f t="shared" si="201"/>
        <x:v/>
      </x:c>
      <x:c r="AP133" s="87"/>
      <x:c r="AQ133" s="374" t="str">
        <x:f t="array" ref="AQ133:AQ133">IF(OR($D133="",$C133="직접입력",$B133="직접입력"),"",INDEX(구분표!$I$2:$I$337,MATCH(1,(구분표!$G$2:$G$337='3. 일입'!$B133)*(구분표!$E$2:$E$337='3. 일입'!$C133)*(구분표!$F$2:$F$337='3. 일입'!$D133),0)))</x:f>
        <x:v/>
      </x:c>
      <x:c r="AR133" s="87"/>
      <x:c r="AS133" s="472" t="str">
        <x:f>IF($AK133="","",SUMIFS('3. 일출(의존)'!$AB$7:$AB$1989,'3. 일출(의존)'!$AN$7:$AN$1989,$AK133))</x:f>
        <x:v/>
      </x:c>
      <x:c r="AT133" s="377" t="str">
        <x:f>IF($AK133="","",COUNTIF('3. 일출(의존)'!$AN$7:$AN$1989,$AK133))</x:f>
        <x:v/>
      </x:c>
      <x:c r="AU133" s="374" t="str">
        <x:f t="shared" si="202"/>
        <x:v/>
      </x:c>
      <x:c r="AV133" s="472" t="str">
        <x:f>IF($AN133="","",IF($AO133="지역개발기금",SUMIFS('3. 일출(의존)'!$AE$8:$AE$2000,'3. 일출(의존)'!$AS$8:$AS$2000,$AN133)+SUMIFS('3. 일출(자체)'!$AE$8:$AE$2000,'3. 일출(자체)'!$AM$8:$AM$2000,$AN133),IF($AO133="지방채",SUMIFS('3. 일출(의존)'!$AD$8:$AD$2000,'3. 일출(의존)'!$AS$8:$AS$2000,$AN133)+SUMIFS('3. 일출(자체)'!$AD$8:$AD$2000,'3. 일출(자체)'!$AM$8:$AM$2000,$AN133),0)))</x:f>
        <x:v/>
      </x:c>
      <x:c r="AW133" s="377" t="str">
        <x:f>IF($AN133="","",COUNTIF('3. 일출(의존)'!$AS$8:$AS$2000,$AN133)+COUNTIF('3. 일출(자체)'!$AM$8:$AM$2000,$AN133))</x:f>
        <x:v/>
      </x:c>
      <x:c r="AX133" s="374" t="str">
        <x:f t="shared" si="203"/>
        <x:v/>
      </x:c>
      <x:c r="AY133" s="91"/>
      <x:c r="AZ133" s="472" t="str">
        <x:f>IF($AK133="","",SUMIFS('3. 일출(의존)'!$AH$8:$AH$1989,'3. 일출(의존)'!$AN$8:$AN$1989,$AK133))</x:f>
        <x:v/>
      </x:c>
      <x:c r="BA133" s="377" t="str">
        <x:f>IF($AK133="","",COUNTIF('3. 일출(의존)'!$AN$7:$AN$1989,$AK133))</x:f>
        <x:v/>
      </x:c>
      <x:c r="BB133" s="374" t="str">
        <x:f t="shared" si="204"/>
        <x:v/>
      </x:c>
      <x:c r="BC133" s="472" t="str">
        <x:f>IF($AN133="","",IF($AO133="지역개발기금",SUMIFS('3. 일출(의존)'!$AK$8:$AK$2000,'3. 일출(의존)'!$AS$8:$AS$2000,$AN133)+SUMIFS('3. 일출(자체)'!$AJ$8:$AJ$2000,'3. 일출(자체)'!$AM$8:$AM$2000,$AN133),IF($AO133="지방채",SUMIFS('3. 일출(의존)'!$AJ$8:$AJ$2000,'3. 일출(의존)'!$AS$8:$AS$2000,$AN133)+SUMIFS('3. 일출(자체)'!$AI$8:$AI$2000,'3. 일출(자체)'!$AM$8:$AM$2000,$AN133),0)))</x:f>
        <x:v/>
      </x:c>
      <x:c r="BD133" s="377" t="str">
        <x:f>IF($AN133="","",COUNTIF('3. 일출(의존)'!$AS$8:$AS$2000,$AN133)+COUNTIF('3. 일출(자체)'!$AM$8:$AM$2000,$AN133))</x:f>
        <x:v/>
      </x:c>
      <x:c r="BE133" s="374" t="str">
        <x:f t="shared" si="205"/>
        <x:v/>
      </x:c>
    </x:row>
    <x:row r="134" spans="1:57" s="20" customFormat="1" ht="80.099999999999994" customHeight="1">
      <x:c r="A134" s="155" t="str">
        <x:f>IF(D134="","",COUNTA($C$8:C134)-COUNTBLANK($C$8:C134)+8)</x:f>
        <x:v/>
      </x:c>
      <x:c r="B134" s="156" t="str">
        <x: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x:f>
        <x:v/>
      </x:c>
      <x:c r="C134" s="156" t="str">
        <x:f>IF(D134="","",IF(OR(D134="교육지원과",D134="총무과",D134="인사과"),"직접입력",VLOOKUP(D134,구분표!$A$3:$C$258,3,)))</x:f>
        <x:v/>
      </x:c>
      <x:c r="D134" s="219"/>
      <x:c r="E134" s="213"/>
      <x:c r="F134" s="388" t="str">
        <x:f t="shared" si="206"/>
        <x:v/>
      </x:c>
      <x:c r="G134" s="388" t="str">
        <x:f t="shared" si="206"/>
        <x:v/>
      </x:c>
      <x:c r="H134" s="213"/>
      <x:c r="I134" s="156" t="str">
        <x:f>IF(H134="","",VLOOKUP($H134,구분표!$O$3:$P$168,2,FALSE))</x:f>
        <x:v/>
      </x:c>
      <x:c r="J134" s="215"/>
      <x:c r="K134" s="459" t="str">
        <x:f t="shared" si="207"/>
        <x:v/>
      </x:c>
      <x:c r="L134" s="459" t="str">
        <x:f t="shared" si="208"/>
        <x:v/>
      </x:c>
      <x:c r="M134" s="461" t="str">
        <x:f t="shared" si="187"/>
        <x:v/>
      </x:c>
      <x:c r="N134" s="460"/>
      <x:c r="O134" s="461">
        <x:f t="shared" si="188"/>
        <x:v>0</x:v>
      </x:c>
      <x:c r="P134" s="462"/>
      <x:c r="Q134" s="463">
        <x:f t="shared" si="189"/>
        <x:v>0</x:v>
      </x:c>
      <x:c r="R134" s="162" t="str">
        <x:f t="shared" si="190"/>
        <x:v>X</x:v>
      </x:c>
      <x:c r="S134" s="216"/>
      <x:c r="T134" s="327"/>
      <x:c r="U134" s="217"/>
      <x:c r="V134" s="203"/>
      <x:c r="W134" s="217"/>
      <x:c r="X134" s="217"/>
      <x:c r="Y134" s="162" t="str">
        <x:f t="shared" si="191"/>
        <x:v/>
      </x:c>
      <x:c r="Z134" s="45"/>
      <x:c r="AA134" s="471" t="str">
        <x:f t="shared" si="192"/>
        <x:v/>
      </x:c>
      <x:c r="AB134" s="471" t="str">
        <x:f t="shared" si="193"/>
        <x:v/>
      </x:c>
      <x:c r="AC134" s="471" t="str">
        <x:f t="shared" si="194"/>
        <x:v/>
      </x:c>
      <x:c r="AD134" s="471" t="str">
        <x:f t="shared" si="195"/>
        <x:v/>
      </x:c>
      <x:c r="AE134" s="46"/>
      <x:c r="AF134" s="471" t="str">
        <x:f t="shared" si="196"/>
        <x:v/>
      </x:c>
      <x:c r="AG134" s="471" t="str">
        <x:f t="shared" si="197"/>
        <x:v/>
      </x:c>
      <x:c r="AH134" s="471" t="str">
        <x:f t="shared" si="198"/>
        <x:v/>
      </x:c>
      <x:c r="AI134" s="471" t="str">
        <x:f t="shared" si="199"/>
        <x:v/>
      </x:c>
      <x:c r="AJ134" s="87"/>
      <x:c r="AK134" s="374" t="str">
        <x:f>IF($AQ134="","",IF(OR($AL134="",$AL134="도비"),"",CONCATENATE($AQ134,"-",COUNTIF($AQ$8:$AQ134,$AQ134))))</x:f>
        <x:v/>
      </x:c>
      <x:c r="AL134" s="374" t="str">
        <x:f t="shared" si="200"/>
        <x:v/>
      </x:c>
      <x:c r="AM134" s="87"/>
      <x:c r="AN134" s="375" t="str">
        <x:f>IF($AQ134="","",IF(OR($AO134="",$AO134="국비",$AO134="자체"),"",CONCATENATE($AQ134,"-",$AO134,"-",COUNTIF($AQ$8:$AQ134,$AQ134))))</x:f>
        <x:v/>
      </x:c>
      <x:c r="AO134" s="375" t="str">
        <x:f t="shared" si="201"/>
        <x:v/>
      </x:c>
      <x:c r="AP134" s="87"/>
      <x:c r="AQ134" s="374" t="str">
        <x:f t="array" ref="AQ134:AQ134">IF(OR($D134="",$C134="직접입력",$B134="직접입력"),"",INDEX(구분표!$I$2:$I$337,MATCH(1,(구분표!$G$2:$G$337='3. 일입'!$B134)*(구분표!$E$2:$E$337='3. 일입'!$C134)*(구분표!$F$2:$F$337='3. 일입'!$D134),0)))</x:f>
        <x:v/>
      </x:c>
      <x:c r="AR134" s="87"/>
      <x:c r="AS134" s="472" t="str">
        <x:f>IF($AK134="","",SUMIFS('3. 일출(의존)'!$AB$7:$AB$1989,'3. 일출(의존)'!$AN$7:$AN$1989,$AK134))</x:f>
        <x:v/>
      </x:c>
      <x:c r="AT134" s="377" t="str">
        <x:f>IF($AK134="","",COUNTIF('3. 일출(의존)'!$AN$7:$AN$1989,$AK134))</x:f>
        <x:v/>
      </x:c>
      <x:c r="AU134" s="374" t="str">
        <x:f t="shared" si="202"/>
        <x:v/>
      </x:c>
      <x:c r="AV134" s="472" t="str">
        <x:f>IF($AN134="","",IF($AO134="지역개발기금",SUMIFS('3. 일출(의존)'!$AE$8:$AE$2000,'3. 일출(의존)'!$AS$8:$AS$2000,$AN134)+SUMIFS('3. 일출(자체)'!$AE$8:$AE$2000,'3. 일출(자체)'!$AM$8:$AM$2000,$AN134),IF($AO134="지방채",SUMIFS('3. 일출(의존)'!$AD$8:$AD$2000,'3. 일출(의존)'!$AS$8:$AS$2000,$AN134)+SUMIFS('3. 일출(자체)'!$AD$8:$AD$2000,'3. 일출(자체)'!$AM$8:$AM$2000,$AN134),0)))</x:f>
        <x:v/>
      </x:c>
      <x:c r="AW134" s="377" t="str">
        <x:f>IF($AN134="","",COUNTIF('3. 일출(의존)'!$AS$8:$AS$2000,$AN134)+COUNTIF('3. 일출(자체)'!$AM$8:$AM$2000,$AN134))</x:f>
        <x:v/>
      </x:c>
      <x:c r="AX134" s="374" t="str">
        <x:f t="shared" si="203"/>
        <x:v/>
      </x:c>
      <x:c r="AY134" s="91"/>
      <x:c r="AZ134" s="472" t="str">
        <x:f>IF($AK134="","",SUMIFS('3. 일출(의존)'!$AH$8:$AH$1989,'3. 일출(의존)'!$AN$8:$AN$1989,$AK134))</x:f>
        <x:v/>
      </x:c>
      <x:c r="BA134" s="377" t="str">
        <x:f>IF($AK134="","",COUNTIF('3. 일출(의존)'!$AN$7:$AN$1989,$AK134))</x:f>
        <x:v/>
      </x:c>
      <x:c r="BB134" s="374" t="str">
        <x:f t="shared" si="204"/>
        <x:v/>
      </x:c>
      <x:c r="BC134" s="472" t="str">
        <x:f>IF($AN134="","",IF($AO134="지역개발기금",SUMIFS('3. 일출(의존)'!$AK$8:$AK$2000,'3. 일출(의존)'!$AS$8:$AS$2000,$AN134)+SUMIFS('3. 일출(자체)'!$AJ$8:$AJ$2000,'3. 일출(자체)'!$AM$8:$AM$2000,$AN134),IF($AO134="지방채",SUMIFS('3. 일출(의존)'!$AJ$8:$AJ$2000,'3. 일출(의존)'!$AS$8:$AS$2000,$AN134)+SUMIFS('3. 일출(자체)'!$AI$8:$AI$2000,'3. 일출(자체)'!$AM$8:$AM$2000,$AN134),0)))</x:f>
        <x:v/>
      </x:c>
      <x:c r="BD134" s="377" t="str">
        <x:f>IF($AN134="","",COUNTIF('3. 일출(의존)'!$AS$8:$AS$2000,$AN134)+COUNTIF('3. 일출(자체)'!$AM$8:$AM$2000,$AN134))</x:f>
        <x:v/>
      </x:c>
      <x:c r="BE134" s="374" t="str">
        <x:f t="shared" si="205"/>
        <x:v/>
      </x:c>
    </x:row>
    <x:row r="135" spans="1:57" s="20" customFormat="1" ht="80.099999999999994" customHeight="1">
      <x:c r="A135" s="155" t="str">
        <x:f>IF(D135="","",COUNTA($C$8:C135)-COUNTBLANK($C$8:C135)+8)</x:f>
        <x:v/>
      </x:c>
      <x:c r="B135" s="156" t="str">
        <x:f>IF(D135="","",IF(OR(C135="직접입력",D135="북부지원"),"직접입력",IF(OR(AND(D135="인사과",C135="의회사무처"),AND(D135="총무과",C135="의회사무처")),"의회운영위원회",IF(OR(C135="직접입력",D135="북부지원"),"직접입력",IF(OR(AND(D135="인사과",C135="자치행정국"),AND(D135="총무과",C135="자치행정국")),"안전행정위원회",VLOOKUP(D135,구분표!$A$3:$C$258,2,))))))</x:f>
        <x:v/>
      </x:c>
      <x:c r="C135" s="156" t="str">
        <x:f>IF(D135="","",IF(OR(D135="교육지원과",D135="총무과",D135="인사과"),"직접입력",VLOOKUP(D135,구분표!$A$3:$C$258,3,)))</x:f>
        <x:v/>
      </x:c>
      <x:c r="D135" s="219"/>
      <x:c r="E135" s="213"/>
      <x:c r="F135" s="388" t="str">
        <x:f t="shared" si="206"/>
        <x:v/>
      </x:c>
      <x:c r="G135" s="388" t="str">
        <x:f t="shared" si="206"/>
        <x:v/>
      </x:c>
      <x:c r="H135" s="213"/>
      <x:c r="I135" s="156" t="str">
        <x:f>IF(H135="","",VLOOKUP($H135,구분표!$O$3:$P$168,2,FALSE))</x:f>
        <x:v/>
      </x:c>
      <x:c r="J135" s="215"/>
      <x:c r="K135" s="459" t="str">
        <x:f t="shared" si="207"/>
        <x:v/>
      </x:c>
      <x:c r="L135" s="459" t="str">
        <x:f t="shared" si="208"/>
        <x:v/>
      </x:c>
      <x:c r="M135" s="461" t="str">
        <x:f t="shared" si="187"/>
        <x:v/>
      </x:c>
      <x:c r="N135" s="460"/>
      <x:c r="O135" s="461">
        <x:f t="shared" si="188"/>
        <x:v>0</x:v>
      </x:c>
      <x:c r="P135" s="462"/>
      <x:c r="Q135" s="463">
        <x:f t="shared" si="189"/>
        <x:v>0</x:v>
      </x:c>
      <x:c r="R135" s="162" t="str">
        <x:f t="shared" si="190"/>
        <x:v>X</x:v>
      </x:c>
      <x:c r="S135" s="216"/>
      <x:c r="T135" s="327"/>
      <x:c r="U135" s="217"/>
      <x:c r="V135" s="203"/>
      <x:c r="W135" s="217"/>
      <x:c r="X135" s="217"/>
      <x:c r="Y135" s="162" t="str">
        <x:f t="shared" si="191"/>
        <x:v/>
      </x:c>
      <x:c r="Z135" s="45"/>
      <x:c r="AA135" s="471" t="str">
        <x:f t="shared" si="192"/>
        <x:v/>
      </x:c>
      <x:c r="AB135" s="471" t="str">
        <x:f t="shared" si="193"/>
        <x:v/>
      </x:c>
      <x:c r="AC135" s="471" t="str">
        <x:f t="shared" si="194"/>
        <x:v/>
      </x:c>
      <x:c r="AD135" s="471" t="str">
        <x:f t="shared" si="195"/>
        <x:v/>
      </x:c>
      <x:c r="AE135" s="46"/>
      <x:c r="AF135" s="471" t="str">
        <x:f t="shared" si="196"/>
        <x:v/>
      </x:c>
      <x:c r="AG135" s="471" t="str">
        <x:f t="shared" si="197"/>
        <x:v/>
      </x:c>
      <x:c r="AH135" s="471" t="str">
        <x:f t="shared" si="198"/>
        <x:v/>
      </x:c>
      <x:c r="AI135" s="471" t="str">
        <x:f t="shared" si="199"/>
        <x:v/>
      </x:c>
      <x:c r="AJ135" s="87"/>
      <x:c r="AK135" s="374" t="str">
        <x:f>IF($AQ135="","",IF(OR($AL135="",$AL135="도비"),"",CONCATENATE($AQ135,"-",COUNTIF($AQ$8:$AQ135,$AQ135))))</x:f>
        <x:v/>
      </x:c>
      <x:c r="AL135" s="374" t="str">
        <x:f t="shared" si="200"/>
        <x:v/>
      </x:c>
      <x:c r="AM135" s="87"/>
      <x:c r="AN135" s="375" t="str">
        <x:f>IF($AQ135="","",IF(OR($AO135="",$AO135="국비",$AO135="자체"),"",CONCATENATE($AQ135,"-",$AO135,"-",COUNTIF($AQ$8:$AQ135,$AQ135))))</x:f>
        <x:v/>
      </x:c>
      <x:c r="AO135" s="375" t="str">
        <x:f t="shared" si="201"/>
        <x:v/>
      </x:c>
      <x:c r="AP135" s="87"/>
      <x:c r="AQ135" s="374" t="str">
        <x:f t="array" ref="AQ135:AQ135">IF(OR($D135="",$C135="직접입력",$B135="직접입력"),"",INDEX(구분표!$I$2:$I$337,MATCH(1,(구분표!$G$2:$G$337='3. 일입'!$B135)*(구분표!$E$2:$E$337='3. 일입'!$C135)*(구분표!$F$2:$F$337='3. 일입'!$D135),0)))</x:f>
        <x:v/>
      </x:c>
      <x:c r="AR135" s="87"/>
      <x:c r="AS135" s="472" t="str">
        <x:f>IF($AK135="","",SUMIFS('3. 일출(의존)'!$AB$7:$AB$1989,'3. 일출(의존)'!$AN$7:$AN$1989,$AK135))</x:f>
        <x:v/>
      </x:c>
      <x:c r="AT135" s="377" t="str">
        <x:f>IF($AK135="","",COUNTIF('3. 일출(의존)'!$AN$7:$AN$1989,$AK135))</x:f>
        <x:v/>
      </x:c>
      <x:c r="AU135" s="374" t="str">
        <x:f t="shared" si="202"/>
        <x:v/>
      </x:c>
      <x:c r="AV135" s="472" t="str">
        <x:f>IF($AN135="","",IF($AO135="지역개발기금",SUMIFS('3. 일출(의존)'!$AE$8:$AE$2000,'3. 일출(의존)'!$AS$8:$AS$2000,$AN135)+SUMIFS('3. 일출(자체)'!$AE$8:$AE$2000,'3. 일출(자체)'!$AM$8:$AM$2000,$AN135),IF($AO135="지방채",SUMIFS('3. 일출(의존)'!$AD$8:$AD$2000,'3. 일출(의존)'!$AS$8:$AS$2000,$AN135)+SUMIFS('3. 일출(자체)'!$AD$8:$AD$2000,'3. 일출(자체)'!$AM$8:$AM$2000,$AN135),0)))</x:f>
        <x:v/>
      </x:c>
      <x:c r="AW135" s="377" t="str">
        <x:f>IF($AN135="","",COUNTIF('3. 일출(의존)'!$AS$8:$AS$2000,$AN135)+COUNTIF('3. 일출(자체)'!$AM$8:$AM$2000,$AN135))</x:f>
        <x:v/>
      </x:c>
      <x:c r="AX135" s="374" t="str">
        <x:f t="shared" si="203"/>
        <x:v/>
      </x:c>
      <x:c r="AY135" s="91"/>
      <x:c r="AZ135" s="472" t="str">
        <x:f>IF($AK135="","",SUMIFS('3. 일출(의존)'!$AH$8:$AH$1989,'3. 일출(의존)'!$AN$8:$AN$1989,$AK135))</x:f>
        <x:v/>
      </x:c>
      <x:c r="BA135" s="377" t="str">
        <x:f>IF($AK135="","",COUNTIF('3. 일출(의존)'!$AN$7:$AN$1989,$AK135))</x:f>
        <x:v/>
      </x:c>
      <x:c r="BB135" s="374" t="str">
        <x:f t="shared" si="204"/>
        <x:v/>
      </x:c>
      <x:c r="BC135" s="472" t="str">
        <x:f>IF($AN135="","",IF($AO135="지역개발기금",SUMIFS('3. 일출(의존)'!$AK$8:$AK$2000,'3. 일출(의존)'!$AS$8:$AS$2000,$AN135)+SUMIFS('3. 일출(자체)'!$AJ$8:$AJ$2000,'3. 일출(자체)'!$AM$8:$AM$2000,$AN135),IF($AO135="지방채",SUMIFS('3. 일출(의존)'!$AJ$8:$AJ$2000,'3. 일출(의존)'!$AS$8:$AS$2000,$AN135)+SUMIFS('3. 일출(자체)'!$AI$8:$AI$2000,'3. 일출(자체)'!$AM$8:$AM$2000,$AN135),0)))</x:f>
        <x:v/>
      </x:c>
      <x:c r="BD135" s="377" t="str">
        <x:f>IF($AN135="","",COUNTIF('3. 일출(의존)'!$AS$8:$AS$2000,$AN135)+COUNTIF('3. 일출(자체)'!$AM$8:$AM$2000,$AN135))</x:f>
        <x:v/>
      </x:c>
      <x:c r="BE135" s="374" t="str">
        <x:f t="shared" si="205"/>
        <x:v/>
      </x:c>
    </x:row>
    <x:row r="136" spans="1:57" s="20" customFormat="1" ht="80.099999999999994" customHeight="1">
      <x:c r="A136" s="155" t="str">
        <x:f>IF(D136="","",COUNTA($C$8:C136)-COUNTBLANK($C$8:C136)+8)</x:f>
        <x:v/>
      </x:c>
      <x:c r="B136" s="156" t="str">
        <x: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x:f>
        <x:v/>
      </x:c>
      <x:c r="C136" s="156" t="str">
        <x:f>IF(D136="","",IF(OR(D136="교육지원과",D136="총무과",D136="인사과"),"직접입력",VLOOKUP(D136,구분표!$A$3:$C$258,3,)))</x:f>
        <x:v/>
      </x:c>
      <x:c r="D136" s="219"/>
      <x:c r="E136" s="213"/>
      <x:c r="F136" s="388" t="str">
        <x:f t="shared" si="206"/>
        <x:v/>
      </x:c>
      <x:c r="G136" s="388" t="str">
        <x:f t="shared" si="206"/>
        <x:v/>
      </x:c>
      <x:c r="H136" s="213"/>
      <x:c r="I136" s="156" t="str">
        <x:f>IF(H136="","",VLOOKUP($H136,구분표!$O$3:$P$168,2,FALSE))</x:f>
        <x:v/>
      </x:c>
      <x:c r="J136" s="215"/>
      <x:c r="K136" s="459" t="str">
        <x:f t="shared" si="207"/>
        <x:v/>
      </x:c>
      <x:c r="L136" s="459" t="str">
        <x:f t="shared" si="208"/>
        <x:v/>
      </x:c>
      <x:c r="M136" s="461" t="str">
        <x:f t="shared" si="187"/>
        <x:v/>
      </x:c>
      <x:c r="N136" s="460"/>
      <x:c r="O136" s="461">
        <x:f t="shared" si="188"/>
        <x:v>0</x:v>
      </x:c>
      <x:c r="P136" s="462"/>
      <x:c r="Q136" s="463">
        <x:f t="shared" si="189"/>
        <x:v>0</x:v>
      </x:c>
      <x:c r="R136" s="162" t="str">
        <x:f t="shared" si="190"/>
        <x:v>X</x:v>
      </x:c>
      <x:c r="S136" s="216"/>
      <x:c r="T136" s="327"/>
      <x:c r="U136" s="217"/>
      <x:c r="V136" s="203"/>
      <x:c r="W136" s="217"/>
      <x:c r="X136" s="217"/>
      <x:c r="Y136" s="162" t="str">
        <x:f t="shared" si="191"/>
        <x:v/>
      </x:c>
      <x:c r="Z136" s="45"/>
      <x:c r="AA136" s="471" t="str">
        <x:f t="shared" si="192"/>
        <x:v/>
      </x:c>
      <x:c r="AB136" s="471" t="str">
        <x:f t="shared" si="193"/>
        <x:v/>
      </x:c>
      <x:c r="AC136" s="471" t="str">
        <x:f t="shared" si="194"/>
        <x:v/>
      </x:c>
      <x:c r="AD136" s="471" t="str">
        <x:f t="shared" si="195"/>
        <x:v/>
      </x:c>
      <x:c r="AE136" s="46"/>
      <x:c r="AF136" s="471" t="str">
        <x:f t="shared" si="196"/>
        <x:v/>
      </x:c>
      <x:c r="AG136" s="471" t="str">
        <x:f t="shared" si="197"/>
        <x:v/>
      </x:c>
      <x:c r="AH136" s="471" t="str">
        <x:f t="shared" si="198"/>
        <x:v/>
      </x:c>
      <x:c r="AI136" s="471" t="str">
        <x:f t="shared" si="199"/>
        <x:v/>
      </x:c>
      <x:c r="AJ136" s="87"/>
      <x:c r="AK136" s="374" t="str">
        <x:f>IF($AQ136="","",IF(OR($AL136="",$AL136="도비"),"",CONCATENATE($AQ136,"-",COUNTIF($AQ$8:$AQ136,$AQ136))))</x:f>
        <x:v/>
      </x:c>
      <x:c r="AL136" s="374" t="str">
        <x:f t="shared" si="200"/>
        <x:v/>
      </x:c>
      <x:c r="AM136" s="87"/>
      <x:c r="AN136" s="375" t="str">
        <x:f>IF($AQ136="","",IF(OR($AO136="",$AO136="국비",$AO136="자체"),"",CONCATENATE($AQ136,"-",$AO136,"-",COUNTIF($AQ$8:$AQ136,$AQ136))))</x:f>
        <x:v/>
      </x:c>
      <x:c r="AO136" s="375" t="str">
        <x:f t="shared" si="201"/>
        <x:v/>
      </x:c>
      <x:c r="AP136" s="87"/>
      <x:c r="AQ136" s="374" t="str">
        <x:f t="array" ref="AQ136:AQ136">IF(OR($D136="",$C136="직접입력",$B136="직접입력"),"",INDEX(구분표!$I$2:$I$337,MATCH(1,(구분표!$G$2:$G$337='3. 일입'!$B136)*(구분표!$E$2:$E$337='3. 일입'!$C136)*(구분표!$F$2:$F$337='3. 일입'!$D136),0)))</x:f>
        <x:v/>
      </x:c>
      <x:c r="AR136" s="87"/>
      <x:c r="AS136" s="472" t="str">
        <x:f>IF($AK136="","",SUMIFS('3. 일출(의존)'!$AB$7:$AB$1989,'3. 일출(의존)'!$AN$7:$AN$1989,$AK136))</x:f>
        <x:v/>
      </x:c>
      <x:c r="AT136" s="377" t="str">
        <x:f>IF($AK136="","",COUNTIF('3. 일출(의존)'!$AN$7:$AN$1989,$AK136))</x:f>
        <x:v/>
      </x:c>
      <x:c r="AU136" s="374" t="str">
        <x:f t="shared" si="202"/>
        <x:v/>
      </x:c>
      <x:c r="AV136" s="472" t="str">
        <x:f>IF($AN136="","",IF($AO136="지역개발기금",SUMIFS('3. 일출(의존)'!$AE$8:$AE$2000,'3. 일출(의존)'!$AS$8:$AS$2000,$AN136)+SUMIFS('3. 일출(자체)'!$AE$8:$AE$2000,'3. 일출(자체)'!$AM$8:$AM$2000,$AN136),IF($AO136="지방채",SUMIFS('3. 일출(의존)'!$AD$8:$AD$2000,'3. 일출(의존)'!$AS$8:$AS$2000,$AN136)+SUMIFS('3. 일출(자체)'!$AD$8:$AD$2000,'3. 일출(자체)'!$AM$8:$AM$2000,$AN136),0)))</x:f>
        <x:v/>
      </x:c>
      <x:c r="AW136" s="377" t="str">
        <x:f>IF($AN136="","",COUNTIF('3. 일출(의존)'!$AS$8:$AS$2000,$AN136)+COUNTIF('3. 일출(자체)'!$AM$8:$AM$2000,$AN136))</x:f>
        <x:v/>
      </x:c>
      <x:c r="AX136" s="374" t="str">
        <x:f t="shared" si="203"/>
        <x:v/>
      </x:c>
      <x:c r="AY136" s="91"/>
      <x:c r="AZ136" s="472" t="str">
        <x:f>IF($AK136="","",SUMIFS('3. 일출(의존)'!$AH$8:$AH$1989,'3. 일출(의존)'!$AN$8:$AN$1989,$AK136))</x:f>
        <x:v/>
      </x:c>
      <x:c r="BA136" s="377" t="str">
        <x:f>IF($AK136="","",COUNTIF('3. 일출(의존)'!$AN$7:$AN$1989,$AK136))</x:f>
        <x:v/>
      </x:c>
      <x:c r="BB136" s="374" t="str">
        <x:f t="shared" si="204"/>
        <x:v/>
      </x:c>
      <x:c r="BC136" s="472" t="str">
        <x:f>IF($AN136="","",IF($AO136="지역개발기금",SUMIFS('3. 일출(의존)'!$AK$8:$AK$2000,'3. 일출(의존)'!$AS$8:$AS$2000,$AN136)+SUMIFS('3. 일출(자체)'!$AJ$8:$AJ$2000,'3. 일출(자체)'!$AM$8:$AM$2000,$AN136),IF($AO136="지방채",SUMIFS('3. 일출(의존)'!$AJ$8:$AJ$2000,'3. 일출(의존)'!$AS$8:$AS$2000,$AN136)+SUMIFS('3. 일출(자체)'!$AI$8:$AI$2000,'3. 일출(자체)'!$AM$8:$AM$2000,$AN136),0)))</x:f>
        <x:v/>
      </x:c>
      <x:c r="BD136" s="377" t="str">
        <x:f>IF($AN136="","",COUNTIF('3. 일출(의존)'!$AS$8:$AS$2000,$AN136)+COUNTIF('3. 일출(자체)'!$AM$8:$AM$2000,$AN136))</x:f>
        <x:v/>
      </x:c>
      <x:c r="BE136" s="374" t="str">
        <x:f t="shared" si="205"/>
        <x:v/>
      </x:c>
    </x:row>
    <x:row r="137" spans="1:57" s="20" customFormat="1" ht="80.099999999999994" customHeight="1">
      <x:c r="A137" s="155" t="str">
        <x:f>IF(D137="","",COUNTA($C$8:C137)-COUNTBLANK($C$8:C137)+8)</x:f>
        <x:v/>
      </x:c>
      <x:c r="B137" s="156" t="str">
        <x: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x:f>
        <x:v/>
      </x:c>
      <x:c r="C137" s="156" t="str">
        <x:f>IF(D137="","",IF(OR(D137="교육지원과",D137="총무과",D137="인사과"),"직접입력",VLOOKUP(D137,구분표!$A$3:$C$258,3,)))</x:f>
        <x:v/>
      </x:c>
      <x:c r="D137" s="219"/>
      <x:c r="E137" s="213"/>
      <x:c r="F137" s="388" t="str">
        <x:f t="shared" si="206"/>
        <x:v/>
      </x:c>
      <x:c r="G137" s="388" t="str">
        <x:f t="shared" si="206"/>
        <x:v/>
      </x:c>
      <x:c r="H137" s="213"/>
      <x:c r="I137" s="156" t="str">
        <x:f>IF(H137="","",VLOOKUP($H137,구분표!$O$3:$P$168,2,FALSE))</x:f>
        <x:v/>
      </x:c>
      <x:c r="J137" s="215"/>
      <x:c r="K137" s="459" t="str">
        <x:f t="shared" si="207"/>
        <x:v/>
      </x:c>
      <x:c r="L137" s="459" t="str">
        <x:f t="shared" si="208"/>
        <x:v/>
      </x:c>
      <x:c r="M137" s="461" t="str">
        <x:f t="shared" si="187"/>
        <x:v/>
      </x:c>
      <x:c r="N137" s="460"/>
      <x:c r="O137" s="461">
        <x:f t="shared" si="188"/>
        <x:v>0</x:v>
      </x:c>
      <x:c r="P137" s="462"/>
      <x:c r="Q137" s="463">
        <x:f t="shared" si="189"/>
        <x:v>0</x:v>
      </x:c>
      <x:c r="R137" s="162" t="str">
        <x:f t="shared" si="190"/>
        <x:v>X</x:v>
      </x:c>
      <x:c r="S137" s="216"/>
      <x:c r="T137" s="327"/>
      <x:c r="U137" s="217"/>
      <x:c r="V137" s="203"/>
      <x:c r="W137" s="217"/>
      <x:c r="X137" s="217"/>
      <x:c r="Y137" s="162" t="str">
        <x:f t="shared" si="191"/>
        <x:v/>
      </x:c>
      <x:c r="Z137" s="45"/>
      <x:c r="AA137" s="471" t="str">
        <x:f t="shared" si="192"/>
        <x:v/>
      </x:c>
      <x:c r="AB137" s="471" t="str">
        <x:f t="shared" si="193"/>
        <x:v/>
      </x:c>
      <x:c r="AC137" s="471" t="str">
        <x:f t="shared" si="194"/>
        <x:v/>
      </x:c>
      <x:c r="AD137" s="471" t="str">
        <x:f t="shared" si="195"/>
        <x:v/>
      </x:c>
      <x:c r="AE137" s="46"/>
      <x:c r="AF137" s="471" t="str">
        <x:f t="shared" si="196"/>
        <x:v/>
      </x:c>
      <x:c r="AG137" s="471" t="str">
        <x:f t="shared" si="197"/>
        <x:v/>
      </x:c>
      <x:c r="AH137" s="471" t="str">
        <x:f t="shared" si="198"/>
        <x:v/>
      </x:c>
      <x:c r="AI137" s="471" t="str">
        <x:f t="shared" si="199"/>
        <x:v/>
      </x:c>
      <x:c r="AJ137" s="87"/>
      <x:c r="AK137" s="374" t="str">
        <x:f>IF($AQ137="","",IF(OR($AL137="",$AL137="도비"),"",CONCATENATE($AQ137,"-",COUNTIF($AQ$8:$AQ137,$AQ137))))</x:f>
        <x:v/>
      </x:c>
      <x:c r="AL137" s="374" t="str">
        <x:f t="shared" si="200"/>
        <x:v/>
      </x:c>
      <x:c r="AM137" s="87"/>
      <x:c r="AN137" s="375" t="str">
        <x:f>IF($AQ137="","",IF(OR($AO137="",$AO137="국비",$AO137="자체"),"",CONCATENATE($AQ137,"-",$AO137,"-",COUNTIF($AQ$8:$AQ137,$AQ137))))</x:f>
        <x:v/>
      </x:c>
      <x:c r="AO137" s="375" t="str">
        <x:f t="shared" si="201"/>
        <x:v/>
      </x:c>
      <x:c r="AP137" s="87"/>
      <x:c r="AQ137" s="374" t="str">
        <x:f t="array" ref="AQ137:AQ137">IF(OR($D137="",$C137="직접입력",$B137="직접입력"),"",INDEX(구분표!$I$2:$I$337,MATCH(1,(구분표!$G$2:$G$337='3. 일입'!$B137)*(구분표!$E$2:$E$337='3. 일입'!$C137)*(구분표!$F$2:$F$337='3. 일입'!$D137),0)))</x:f>
        <x:v/>
      </x:c>
      <x:c r="AR137" s="87"/>
      <x:c r="AS137" s="472" t="str">
        <x:f>IF($AK137="","",SUMIFS('3. 일출(의존)'!$AB$7:$AB$1989,'3. 일출(의존)'!$AN$7:$AN$1989,$AK137))</x:f>
        <x:v/>
      </x:c>
      <x:c r="AT137" s="377" t="str">
        <x:f>IF($AK137="","",COUNTIF('3. 일출(의존)'!$AN$7:$AN$1989,$AK137))</x:f>
        <x:v/>
      </x:c>
      <x:c r="AU137" s="374" t="str">
        <x:f t="shared" si="202"/>
        <x:v/>
      </x:c>
      <x:c r="AV137" s="472" t="str">
        <x:f>IF($AN137="","",IF($AO137="지역개발기금",SUMIFS('3. 일출(의존)'!$AE$8:$AE$2000,'3. 일출(의존)'!$AS$8:$AS$2000,$AN137)+SUMIFS('3. 일출(자체)'!$AE$8:$AE$2000,'3. 일출(자체)'!$AM$8:$AM$2000,$AN137),IF($AO137="지방채",SUMIFS('3. 일출(의존)'!$AD$8:$AD$2000,'3. 일출(의존)'!$AS$8:$AS$2000,$AN137)+SUMIFS('3. 일출(자체)'!$AD$8:$AD$2000,'3. 일출(자체)'!$AM$8:$AM$2000,$AN137),0)))</x:f>
        <x:v/>
      </x:c>
      <x:c r="AW137" s="377" t="str">
        <x:f>IF($AN137="","",COUNTIF('3. 일출(의존)'!$AS$8:$AS$2000,$AN137)+COUNTIF('3. 일출(자체)'!$AM$8:$AM$2000,$AN137))</x:f>
        <x:v/>
      </x:c>
      <x:c r="AX137" s="374" t="str">
        <x:f t="shared" si="203"/>
        <x:v/>
      </x:c>
      <x:c r="AY137" s="91"/>
      <x:c r="AZ137" s="472" t="str">
        <x:f>IF($AK137="","",SUMIFS('3. 일출(의존)'!$AH$8:$AH$1989,'3. 일출(의존)'!$AN$8:$AN$1989,$AK137))</x:f>
        <x:v/>
      </x:c>
      <x:c r="BA137" s="377" t="str">
        <x:f>IF($AK137="","",COUNTIF('3. 일출(의존)'!$AN$7:$AN$1989,$AK137))</x:f>
        <x:v/>
      </x:c>
      <x:c r="BB137" s="374" t="str">
        <x:f t="shared" si="204"/>
        <x:v/>
      </x:c>
      <x:c r="BC137" s="472" t="str">
        <x:f>IF($AN137="","",IF($AO137="지역개발기금",SUMIFS('3. 일출(의존)'!$AK$8:$AK$2000,'3. 일출(의존)'!$AS$8:$AS$2000,$AN137)+SUMIFS('3. 일출(자체)'!$AJ$8:$AJ$2000,'3. 일출(자체)'!$AM$8:$AM$2000,$AN137),IF($AO137="지방채",SUMIFS('3. 일출(의존)'!$AJ$8:$AJ$2000,'3. 일출(의존)'!$AS$8:$AS$2000,$AN137)+SUMIFS('3. 일출(자체)'!$AI$8:$AI$2000,'3. 일출(자체)'!$AM$8:$AM$2000,$AN137),0)))</x:f>
        <x:v/>
      </x:c>
      <x:c r="BD137" s="377" t="str">
        <x:f>IF($AN137="","",COUNTIF('3. 일출(의존)'!$AS$8:$AS$2000,$AN137)+COUNTIF('3. 일출(자체)'!$AM$8:$AM$2000,$AN137))</x:f>
        <x:v/>
      </x:c>
      <x:c r="BE137" s="374" t="str">
        <x:f t="shared" si="205"/>
        <x:v/>
      </x:c>
    </x:row>
    <x:row r="138" spans="1:57" s="20" customFormat="1" ht="80.099999999999994" customHeight="1">
      <x:c r="A138" s="155" t="str">
        <x:f>IF(D138="","",COUNTA($C$8:C138)-COUNTBLANK($C$8:C138)+8)</x:f>
        <x:v/>
      </x:c>
      <x:c r="B138" s="156" t="str">
        <x: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x:f>
        <x:v/>
      </x:c>
      <x:c r="C138" s="156" t="str">
        <x:f>IF(D138="","",IF(OR(D138="교육지원과",D138="총무과",D138="인사과"),"직접입력",VLOOKUP(D138,구분표!$A$3:$C$258,3,)))</x:f>
        <x:v/>
      </x:c>
      <x:c r="D138" s="219"/>
      <x:c r="E138" s="213"/>
      <x:c r="F138" s="388" t="str">
        <x:f t="shared" si="206"/>
        <x:v/>
      </x:c>
      <x:c r="G138" s="388" t="str">
        <x:f t="shared" si="206"/>
        <x:v/>
      </x:c>
      <x:c r="H138" s="213"/>
      <x:c r="I138" s="156" t="str">
        <x:f>IF(H138="","",VLOOKUP($H138,구분표!$O$3:$P$168,2,FALSE))</x:f>
        <x:v/>
      </x:c>
      <x:c r="J138" s="215"/>
      <x:c r="K138" s="459" t="str">
        <x:f t="shared" si="207"/>
        <x:v/>
      </x:c>
      <x:c r="L138" s="459" t="str">
        <x:f t="shared" si="208"/>
        <x:v/>
      </x:c>
      <x:c r="M138" s="461" t="str">
        <x:f t="shared" si="187"/>
        <x:v/>
      </x:c>
      <x:c r="N138" s="460"/>
      <x:c r="O138" s="461">
        <x:f t="shared" si="188"/>
        <x:v>0</x:v>
      </x:c>
      <x:c r="P138" s="462"/>
      <x:c r="Q138" s="463">
        <x:f t="shared" si="189"/>
        <x:v>0</x:v>
      </x:c>
      <x:c r="R138" s="162" t="str">
        <x:f t="shared" si="190"/>
        <x:v>X</x:v>
      </x:c>
      <x:c r="S138" s="216"/>
      <x:c r="T138" s="327"/>
      <x:c r="U138" s="217"/>
      <x:c r="V138" s="203"/>
      <x:c r="W138" s="217"/>
      <x:c r="X138" s="217"/>
      <x:c r="Y138" s="162" t="str">
        <x:f t="shared" si="191"/>
        <x:v/>
      </x:c>
      <x:c r="Z138" s="45"/>
      <x:c r="AA138" s="471" t="str">
        <x:f t="shared" si="192"/>
        <x:v/>
      </x:c>
      <x:c r="AB138" s="471" t="str">
        <x:f t="shared" si="193"/>
        <x:v/>
      </x:c>
      <x:c r="AC138" s="471" t="str">
        <x:f t="shared" si="194"/>
        <x:v/>
      </x:c>
      <x:c r="AD138" s="471" t="str">
        <x:f t="shared" si="195"/>
        <x:v/>
      </x:c>
      <x:c r="AE138" s="46"/>
      <x:c r="AF138" s="471" t="str">
        <x:f t="shared" si="196"/>
        <x:v/>
      </x:c>
      <x:c r="AG138" s="471" t="str">
        <x:f t="shared" si="197"/>
        <x:v/>
      </x:c>
      <x:c r="AH138" s="471" t="str">
        <x:f t="shared" si="198"/>
        <x:v/>
      </x:c>
      <x:c r="AI138" s="471" t="str">
        <x:f t="shared" si="199"/>
        <x:v/>
      </x:c>
      <x:c r="AJ138" s="87"/>
      <x:c r="AK138" s="374" t="str">
        <x:f>IF($AQ138="","",IF(OR($AL138="",$AL138="도비"),"",CONCATENATE($AQ138,"-",COUNTIF($AQ$8:$AQ138,$AQ138))))</x:f>
        <x:v/>
      </x:c>
      <x:c r="AL138" s="374" t="str">
        <x:f t="shared" si="200"/>
        <x:v/>
      </x:c>
      <x:c r="AM138" s="87"/>
      <x:c r="AN138" s="375" t="str">
        <x:f>IF($AQ138="","",IF(OR($AO138="",$AO138="국비",$AO138="자체"),"",CONCATENATE($AQ138,"-",$AO138,"-",COUNTIF($AQ$8:$AQ138,$AQ138))))</x:f>
        <x:v/>
      </x:c>
      <x:c r="AO138" s="375" t="str">
        <x:f t="shared" si="201"/>
        <x:v/>
      </x:c>
      <x:c r="AP138" s="87"/>
      <x:c r="AQ138" s="374" t="str">
        <x:f t="array" ref="AQ138:AQ138">IF(OR($D138="",$C138="직접입력",$B138="직접입력"),"",INDEX(구분표!$I$2:$I$337,MATCH(1,(구분표!$G$2:$G$337='3. 일입'!$B138)*(구분표!$E$2:$E$337='3. 일입'!$C138)*(구분표!$F$2:$F$337='3. 일입'!$D138),0)))</x:f>
        <x:v/>
      </x:c>
      <x:c r="AR138" s="87"/>
      <x:c r="AS138" s="472" t="str">
        <x:f>IF($AK138="","",SUMIFS('3. 일출(의존)'!$AB$7:$AB$1989,'3. 일출(의존)'!$AN$7:$AN$1989,$AK138))</x:f>
        <x:v/>
      </x:c>
      <x:c r="AT138" s="377" t="str">
        <x:f>IF($AK138="","",COUNTIF('3. 일출(의존)'!$AN$7:$AN$1989,$AK138))</x:f>
        <x:v/>
      </x:c>
      <x:c r="AU138" s="374" t="str">
        <x:f t="shared" si="202"/>
        <x:v/>
      </x:c>
      <x:c r="AV138" s="472" t="str">
        <x:f>IF($AN138="","",IF($AO138="지역개발기금",SUMIFS('3. 일출(의존)'!$AE$8:$AE$2000,'3. 일출(의존)'!$AS$8:$AS$2000,$AN138)+SUMIFS('3. 일출(자체)'!$AE$8:$AE$2000,'3. 일출(자체)'!$AM$8:$AM$2000,$AN138),IF($AO138="지방채",SUMIFS('3. 일출(의존)'!$AD$8:$AD$2000,'3. 일출(의존)'!$AS$8:$AS$2000,$AN138)+SUMIFS('3. 일출(자체)'!$AD$8:$AD$2000,'3. 일출(자체)'!$AM$8:$AM$2000,$AN138),0)))</x:f>
        <x:v/>
      </x:c>
      <x:c r="AW138" s="377" t="str">
        <x:f>IF($AN138="","",COUNTIF('3. 일출(의존)'!$AS$8:$AS$2000,$AN138)+COUNTIF('3. 일출(자체)'!$AM$8:$AM$2000,$AN138))</x:f>
        <x:v/>
      </x:c>
      <x:c r="AX138" s="374" t="str">
        <x:f t="shared" si="203"/>
        <x:v/>
      </x:c>
      <x:c r="AY138" s="91"/>
      <x:c r="AZ138" s="472" t="str">
        <x:f>IF($AK138="","",SUMIFS('3. 일출(의존)'!$AH$8:$AH$1989,'3. 일출(의존)'!$AN$8:$AN$1989,$AK138))</x:f>
        <x:v/>
      </x:c>
      <x:c r="BA138" s="377" t="str">
        <x:f>IF($AK138="","",COUNTIF('3. 일출(의존)'!$AN$7:$AN$1989,$AK138))</x:f>
        <x:v/>
      </x:c>
      <x:c r="BB138" s="374" t="str">
        <x:f t="shared" si="204"/>
        <x:v/>
      </x:c>
      <x:c r="BC138" s="472" t="str">
        <x:f>IF($AN138="","",IF($AO138="지역개발기금",SUMIFS('3. 일출(의존)'!$AK$8:$AK$2000,'3. 일출(의존)'!$AS$8:$AS$2000,$AN138)+SUMIFS('3. 일출(자체)'!$AJ$8:$AJ$2000,'3. 일출(자체)'!$AM$8:$AM$2000,$AN138),IF($AO138="지방채",SUMIFS('3. 일출(의존)'!$AJ$8:$AJ$2000,'3. 일출(의존)'!$AS$8:$AS$2000,$AN138)+SUMIFS('3. 일출(자체)'!$AI$8:$AI$2000,'3. 일출(자체)'!$AM$8:$AM$2000,$AN138),0)))</x:f>
        <x:v/>
      </x:c>
      <x:c r="BD138" s="377" t="str">
        <x:f>IF($AN138="","",COUNTIF('3. 일출(의존)'!$AS$8:$AS$2000,$AN138)+COUNTIF('3. 일출(자체)'!$AM$8:$AM$2000,$AN138))</x:f>
        <x:v/>
      </x:c>
      <x:c r="BE138" s="374" t="str">
        <x:f t="shared" si="205"/>
        <x:v/>
      </x:c>
    </x:row>
    <x:row r="139" spans="1:57" s="20" customFormat="1" ht="80.099999999999994" customHeight="1">
      <x:c r="A139" s="155" t="str">
        <x:f>IF(D139="","",COUNTA($C$8:C139)-COUNTBLANK($C$8:C139)+8)</x:f>
        <x:v/>
      </x:c>
      <x:c r="B139" s="156" t="str">
        <x: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x:f>
        <x:v/>
      </x:c>
      <x:c r="C139" s="156" t="str">
        <x:f>IF(D139="","",IF(OR(D139="교육지원과",D139="총무과",D139="인사과"),"직접입력",VLOOKUP(D139,구분표!$A$3:$C$258,3,)))</x:f>
        <x:v/>
      </x:c>
      <x:c r="D139" s="219"/>
      <x:c r="E139" s="213"/>
      <x:c r="F139" s="388" t="str">
        <x:f t="shared" si="206"/>
        <x:v/>
      </x:c>
      <x:c r="G139" s="388" t="str">
        <x:f t="shared" si="206"/>
        <x:v/>
      </x:c>
      <x:c r="H139" s="213"/>
      <x:c r="I139" s="156" t="str">
        <x:f>IF(H139="","",VLOOKUP($H139,구분표!$O$3:$P$168,2,FALSE))</x:f>
        <x:v/>
      </x:c>
      <x:c r="J139" s="215"/>
      <x:c r="K139" s="459" t="str">
        <x:f t="shared" si="207"/>
        <x:v/>
      </x:c>
      <x:c r="L139" s="459" t="str">
        <x:f t="shared" si="208"/>
        <x:v/>
      </x:c>
      <x:c r="M139" s="461" t="str">
        <x:f t="shared" si="187"/>
        <x:v/>
      </x:c>
      <x:c r="N139" s="460"/>
      <x:c r="O139" s="461">
        <x:f t="shared" si="188"/>
        <x:v>0</x:v>
      </x:c>
      <x:c r="P139" s="462"/>
      <x:c r="Q139" s="463">
        <x:f t="shared" si="189"/>
        <x:v>0</x:v>
      </x:c>
      <x:c r="R139" s="162" t="str">
        <x:f t="shared" si="190"/>
        <x:v>X</x:v>
      </x:c>
      <x:c r="S139" s="216"/>
      <x:c r="T139" s="327"/>
      <x:c r="U139" s="217"/>
      <x:c r="V139" s="203"/>
      <x:c r="W139" s="217"/>
      <x:c r="X139" s="217"/>
      <x:c r="Y139" s="162" t="str">
        <x:f t="shared" si="191"/>
        <x:v/>
      </x:c>
      <x:c r="Z139" s="45"/>
      <x:c r="AA139" s="471" t="str">
        <x:f t="shared" si="192"/>
        <x:v/>
      </x:c>
      <x:c r="AB139" s="471" t="str">
        <x:f t="shared" si="193"/>
        <x:v/>
      </x:c>
      <x:c r="AC139" s="471" t="str">
        <x:f t="shared" si="194"/>
        <x:v/>
      </x:c>
      <x:c r="AD139" s="471" t="str">
        <x:f t="shared" si="195"/>
        <x:v/>
      </x:c>
      <x:c r="AE139" s="46"/>
      <x:c r="AF139" s="471" t="str">
        <x:f t="shared" si="196"/>
        <x:v/>
      </x:c>
      <x:c r="AG139" s="471" t="str">
        <x:f t="shared" si="197"/>
        <x:v/>
      </x:c>
      <x:c r="AH139" s="471" t="str">
        <x:f t="shared" si="198"/>
        <x:v/>
      </x:c>
      <x:c r="AI139" s="471" t="str">
        <x:f t="shared" si="199"/>
        <x:v/>
      </x:c>
      <x:c r="AJ139" s="87"/>
      <x:c r="AK139" s="374" t="str">
        <x:f>IF($AQ139="","",IF(OR($AL139="",$AL139="도비"),"",CONCATENATE($AQ139,"-",COUNTIF($AQ$8:$AQ139,$AQ139))))</x:f>
        <x:v/>
      </x:c>
      <x:c r="AL139" s="374" t="str">
        <x:f t="shared" si="200"/>
        <x:v/>
      </x:c>
      <x:c r="AM139" s="87"/>
      <x:c r="AN139" s="375" t="str">
        <x:f>IF($AQ139="","",IF(OR($AO139="",$AO139="국비",$AO139="자체"),"",CONCATENATE($AQ139,"-",$AO139,"-",COUNTIF($AQ$8:$AQ139,$AQ139))))</x:f>
        <x:v/>
      </x:c>
      <x:c r="AO139" s="375" t="str">
        <x:f t="shared" si="201"/>
        <x:v/>
      </x:c>
      <x:c r="AP139" s="87"/>
      <x:c r="AQ139" s="374" t="str">
        <x:f t="array" ref="AQ139:AQ139">IF(OR($D139="",$C139="직접입력",$B139="직접입력"),"",INDEX(구분표!$I$2:$I$337,MATCH(1,(구분표!$G$2:$G$337='3. 일입'!$B139)*(구분표!$E$2:$E$337='3. 일입'!$C139)*(구분표!$F$2:$F$337='3. 일입'!$D139),0)))</x:f>
        <x:v/>
      </x:c>
      <x:c r="AR139" s="87"/>
      <x:c r="AS139" s="472" t="str">
        <x:f>IF($AK139="","",SUMIFS('3. 일출(의존)'!$AB$7:$AB$1989,'3. 일출(의존)'!$AN$7:$AN$1989,$AK139))</x:f>
        <x:v/>
      </x:c>
      <x:c r="AT139" s="377" t="str">
        <x:f>IF($AK139="","",COUNTIF('3. 일출(의존)'!$AN$7:$AN$1989,$AK139))</x:f>
        <x:v/>
      </x:c>
      <x:c r="AU139" s="374" t="str">
        <x:f t="shared" si="202"/>
        <x:v/>
      </x:c>
      <x:c r="AV139" s="472" t="str">
        <x:f>IF($AN139="","",IF($AO139="지역개발기금",SUMIFS('3. 일출(의존)'!$AE$8:$AE$2000,'3. 일출(의존)'!$AS$8:$AS$2000,$AN139)+SUMIFS('3. 일출(자체)'!$AE$8:$AE$2000,'3. 일출(자체)'!$AM$8:$AM$2000,$AN139),IF($AO139="지방채",SUMIFS('3. 일출(의존)'!$AD$8:$AD$2000,'3. 일출(의존)'!$AS$8:$AS$2000,$AN139)+SUMIFS('3. 일출(자체)'!$AD$8:$AD$2000,'3. 일출(자체)'!$AM$8:$AM$2000,$AN139),0)))</x:f>
        <x:v/>
      </x:c>
      <x:c r="AW139" s="377" t="str">
        <x:f>IF($AN139="","",COUNTIF('3. 일출(의존)'!$AS$8:$AS$2000,$AN139)+COUNTIF('3. 일출(자체)'!$AM$8:$AM$2000,$AN139))</x:f>
        <x:v/>
      </x:c>
      <x:c r="AX139" s="374" t="str">
        <x:f t="shared" si="203"/>
        <x:v/>
      </x:c>
      <x:c r="AY139" s="91"/>
      <x:c r="AZ139" s="472" t="str">
        <x:f>IF($AK139="","",SUMIFS('3. 일출(의존)'!$AH$8:$AH$1989,'3. 일출(의존)'!$AN$8:$AN$1989,$AK139))</x:f>
        <x:v/>
      </x:c>
      <x:c r="BA139" s="377" t="str">
        <x:f>IF($AK139="","",COUNTIF('3. 일출(의존)'!$AN$7:$AN$1989,$AK139))</x:f>
        <x:v/>
      </x:c>
      <x:c r="BB139" s="374" t="str">
        <x:f t="shared" si="204"/>
        <x:v/>
      </x:c>
      <x:c r="BC139" s="472" t="str">
        <x:f>IF($AN139="","",IF($AO139="지역개발기금",SUMIFS('3. 일출(의존)'!$AK$8:$AK$2000,'3. 일출(의존)'!$AS$8:$AS$2000,$AN139)+SUMIFS('3. 일출(자체)'!$AJ$8:$AJ$2000,'3. 일출(자체)'!$AM$8:$AM$2000,$AN139),IF($AO139="지방채",SUMIFS('3. 일출(의존)'!$AJ$8:$AJ$2000,'3. 일출(의존)'!$AS$8:$AS$2000,$AN139)+SUMIFS('3. 일출(자체)'!$AI$8:$AI$2000,'3. 일출(자체)'!$AM$8:$AM$2000,$AN139),0)))</x:f>
        <x:v/>
      </x:c>
      <x:c r="BD139" s="377" t="str">
        <x:f>IF($AN139="","",COUNTIF('3. 일출(의존)'!$AS$8:$AS$2000,$AN139)+COUNTIF('3. 일출(자체)'!$AM$8:$AM$2000,$AN139))</x:f>
        <x:v/>
      </x:c>
      <x:c r="BE139" s="374" t="str">
        <x:f t="shared" si="205"/>
        <x:v/>
      </x:c>
    </x:row>
    <x:row r="140" spans="1:57" s="20" customFormat="1" ht="80.099999999999994" customHeight="1">
      <x:c r="A140" s="155" t="str">
        <x:f>IF(D140="","",COUNTA($C$8:C140)-COUNTBLANK($C$8:C140)+8)</x:f>
        <x:v/>
      </x:c>
      <x:c r="B140" s="156" t="str">
        <x: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x:f>
        <x:v/>
      </x:c>
      <x:c r="C140" s="156" t="str">
        <x:f>IF(D140="","",IF(OR(D140="교육지원과",D140="총무과",D140="인사과"),"직접입력",VLOOKUP(D140,구분표!$A$3:$C$258,3,)))</x:f>
        <x:v/>
      </x:c>
      <x:c r="D140" s="219"/>
      <x:c r="E140" s="213"/>
      <x:c r="F140" s="388" t="str">
        <x:f t="shared" si="206"/>
        <x:v/>
      </x:c>
      <x:c r="G140" s="388" t="str">
        <x:f t="shared" si="206"/>
        <x:v/>
      </x:c>
      <x:c r="H140" s="213"/>
      <x:c r="I140" s="156" t="str">
        <x:f>IF(H140="","",VLOOKUP($H140,구분표!$O$3:$P$168,2,FALSE))</x:f>
        <x:v/>
      </x:c>
      <x:c r="J140" s="215"/>
      <x:c r="K140" s="459" t="str">
        <x:f t="shared" si="207"/>
        <x:v/>
      </x:c>
      <x:c r="L140" s="459" t="str">
        <x:f t="shared" si="208"/>
        <x:v/>
      </x:c>
      <x:c r="M140" s="461" t="str">
        <x:f t="shared" si="187"/>
        <x:v/>
      </x:c>
      <x:c r="N140" s="460"/>
      <x:c r="O140" s="461">
        <x:f t="shared" si="188"/>
        <x:v>0</x:v>
      </x:c>
      <x:c r="P140" s="462"/>
      <x:c r="Q140" s="463">
        <x:f t="shared" si="189"/>
        <x:v>0</x:v>
      </x:c>
      <x:c r="R140" s="162" t="str">
        <x:f t="shared" si="190"/>
        <x:v>X</x:v>
      </x:c>
      <x:c r="S140" s="216"/>
      <x:c r="T140" s="327"/>
      <x:c r="U140" s="217"/>
      <x:c r="V140" s="203"/>
      <x:c r="W140" s="217"/>
      <x:c r="X140" s="217"/>
      <x:c r="Y140" s="162" t="str">
        <x:f t="shared" si="191"/>
        <x:v/>
      </x:c>
      <x:c r="Z140" s="45"/>
      <x:c r="AA140" s="471" t="str">
        <x:f t="shared" si="192"/>
        <x:v/>
      </x:c>
      <x:c r="AB140" s="471" t="str">
        <x:f t="shared" si="193"/>
        <x:v/>
      </x:c>
      <x:c r="AC140" s="471" t="str">
        <x:f t="shared" si="194"/>
        <x:v/>
      </x:c>
      <x:c r="AD140" s="471" t="str">
        <x:f t="shared" si="195"/>
        <x:v/>
      </x:c>
      <x:c r="AE140" s="46"/>
      <x:c r="AF140" s="471" t="str">
        <x:f t="shared" si="196"/>
        <x:v/>
      </x:c>
      <x:c r="AG140" s="471" t="str">
        <x:f t="shared" si="197"/>
        <x:v/>
      </x:c>
      <x:c r="AH140" s="471" t="str">
        <x:f t="shared" si="198"/>
        <x:v/>
      </x:c>
      <x:c r="AI140" s="471" t="str">
        <x:f t="shared" si="199"/>
        <x:v/>
      </x:c>
      <x:c r="AJ140" s="87"/>
      <x:c r="AK140" s="374" t="str">
        <x:f>IF($AQ140="","",IF(OR($AL140="",$AL140="도비"),"",CONCATENATE($AQ140,"-",COUNTIF($AQ$8:$AQ140,$AQ140))))</x:f>
        <x:v/>
      </x:c>
      <x:c r="AL140" s="374" t="str">
        <x:f t="shared" si="200"/>
        <x:v/>
      </x:c>
      <x:c r="AM140" s="87"/>
      <x:c r="AN140" s="375" t="str">
        <x:f>IF($AQ140="","",IF(OR($AO140="",$AO140="국비",$AO140="자체"),"",CONCATENATE($AQ140,"-",$AO140,"-",COUNTIF($AQ$8:$AQ140,$AQ140))))</x:f>
        <x:v/>
      </x:c>
      <x:c r="AO140" s="375" t="str">
        <x:f t="shared" si="201"/>
        <x:v/>
      </x:c>
      <x:c r="AP140" s="87"/>
      <x:c r="AQ140" s="374" t="str">
        <x:f t="array" ref="AQ140:AQ140">IF(OR($D140="",$C140="직접입력",$B140="직접입력"),"",INDEX(구분표!$I$2:$I$337,MATCH(1,(구분표!$G$2:$G$337='3. 일입'!$B140)*(구분표!$E$2:$E$337='3. 일입'!$C140)*(구분표!$F$2:$F$337='3. 일입'!$D140),0)))</x:f>
        <x:v/>
      </x:c>
      <x:c r="AR140" s="87"/>
      <x:c r="AS140" s="472" t="str">
        <x:f>IF($AK140="","",SUMIFS('3. 일출(의존)'!$AB$7:$AB$1989,'3. 일출(의존)'!$AN$7:$AN$1989,$AK140))</x:f>
        <x:v/>
      </x:c>
      <x:c r="AT140" s="377" t="str">
        <x:f>IF($AK140="","",COUNTIF('3. 일출(의존)'!$AN$7:$AN$1989,$AK140))</x:f>
        <x:v/>
      </x:c>
      <x:c r="AU140" s="374" t="str">
        <x:f t="shared" si="202"/>
        <x:v/>
      </x:c>
      <x:c r="AV140" s="472" t="str">
        <x:f>IF($AN140="","",IF($AO140="지역개발기금",SUMIFS('3. 일출(의존)'!$AE$8:$AE$2000,'3. 일출(의존)'!$AS$8:$AS$2000,$AN140)+SUMIFS('3. 일출(자체)'!$AE$8:$AE$2000,'3. 일출(자체)'!$AM$8:$AM$2000,$AN140),IF($AO140="지방채",SUMIFS('3. 일출(의존)'!$AD$8:$AD$2000,'3. 일출(의존)'!$AS$8:$AS$2000,$AN140)+SUMIFS('3. 일출(자체)'!$AD$8:$AD$2000,'3. 일출(자체)'!$AM$8:$AM$2000,$AN140),0)))</x:f>
        <x:v/>
      </x:c>
      <x:c r="AW140" s="377" t="str">
        <x:f>IF($AN140="","",COUNTIF('3. 일출(의존)'!$AS$8:$AS$2000,$AN140)+COUNTIF('3. 일출(자체)'!$AM$8:$AM$2000,$AN140))</x:f>
        <x:v/>
      </x:c>
      <x:c r="AX140" s="374" t="str">
        <x:f t="shared" si="203"/>
        <x:v/>
      </x:c>
      <x:c r="AY140" s="91"/>
      <x:c r="AZ140" s="472" t="str">
        <x:f>IF($AK140="","",SUMIFS('3. 일출(의존)'!$AH$8:$AH$1989,'3. 일출(의존)'!$AN$8:$AN$1989,$AK140))</x:f>
        <x:v/>
      </x:c>
      <x:c r="BA140" s="377" t="str">
        <x:f>IF($AK140="","",COUNTIF('3. 일출(의존)'!$AN$7:$AN$1989,$AK140))</x:f>
        <x:v/>
      </x:c>
      <x:c r="BB140" s="374" t="str">
        <x:f t="shared" si="204"/>
        <x:v/>
      </x:c>
      <x:c r="BC140" s="472" t="str">
        <x:f>IF($AN140="","",IF($AO140="지역개발기금",SUMIFS('3. 일출(의존)'!$AK$8:$AK$2000,'3. 일출(의존)'!$AS$8:$AS$2000,$AN140)+SUMIFS('3. 일출(자체)'!$AJ$8:$AJ$2000,'3. 일출(자체)'!$AM$8:$AM$2000,$AN140),IF($AO140="지방채",SUMIFS('3. 일출(의존)'!$AJ$8:$AJ$2000,'3. 일출(의존)'!$AS$8:$AS$2000,$AN140)+SUMIFS('3. 일출(자체)'!$AI$8:$AI$2000,'3. 일출(자체)'!$AM$8:$AM$2000,$AN140),0)))</x:f>
        <x:v/>
      </x:c>
      <x:c r="BD140" s="377" t="str">
        <x:f>IF($AN140="","",COUNTIF('3. 일출(의존)'!$AS$8:$AS$2000,$AN140)+COUNTIF('3. 일출(자체)'!$AM$8:$AM$2000,$AN140))</x:f>
        <x:v/>
      </x:c>
      <x:c r="BE140" s="374" t="str">
        <x:f t="shared" si="205"/>
        <x:v/>
      </x:c>
    </x:row>
    <x:row r="141" spans="1:57" s="20" customFormat="1" ht="80.099999999999994" customHeight="1">
      <x:c r="A141" s="155" t="str">
        <x:f>IF(D141="","",COUNTA($C$8:C141)-COUNTBLANK($C$8:C141)+8)</x:f>
        <x:v/>
      </x:c>
      <x:c r="B141" s="156" t="str">
        <x: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x:f>
        <x:v/>
      </x:c>
      <x:c r="C141" s="156" t="str">
        <x:f>IF(D141="","",IF(OR(D141="교육지원과",D141="총무과",D141="인사과"),"직접입력",VLOOKUP(D141,구분표!$A$3:$C$258,3,)))</x:f>
        <x:v/>
      </x:c>
      <x:c r="D141" s="219"/>
      <x:c r="E141" s="213"/>
      <x:c r="F141" s="388" t="str">
        <x:f t="shared" si="206"/>
        <x:v/>
      </x:c>
      <x:c r="G141" s="388" t="str">
        <x:f t="shared" si="206"/>
        <x:v/>
      </x:c>
      <x:c r="H141" s="213"/>
      <x:c r="I141" s="156" t="str">
        <x:f>IF(H141="","",VLOOKUP($H141,구분표!$O$3:$P$168,2,FALSE))</x:f>
        <x:v/>
      </x:c>
      <x:c r="J141" s="215"/>
      <x:c r="K141" s="459" t="str">
        <x:f t="shared" si="207"/>
        <x:v/>
      </x:c>
      <x:c r="L141" s="459" t="str">
        <x:f t="shared" si="208"/>
        <x:v/>
      </x:c>
      <x:c r="M141" s="461" t="str">
        <x:f t="shared" si="187"/>
        <x:v/>
      </x:c>
      <x:c r="N141" s="460"/>
      <x:c r="O141" s="461">
        <x:f t="shared" si="188"/>
        <x:v>0</x:v>
      </x:c>
      <x:c r="P141" s="462"/>
      <x:c r="Q141" s="463">
        <x:f t="shared" si="189"/>
        <x:v>0</x:v>
      </x:c>
      <x:c r="R141" s="162" t="str">
        <x:f t="shared" si="190"/>
        <x:v>X</x:v>
      </x:c>
      <x:c r="S141" s="216"/>
      <x:c r="T141" s="327"/>
      <x:c r="U141" s="217"/>
      <x:c r="V141" s="203"/>
      <x:c r="W141" s="217"/>
      <x:c r="X141" s="217"/>
      <x:c r="Y141" s="162" t="str">
        <x:f t="shared" si="191"/>
        <x:v/>
      </x:c>
      <x:c r="Z141" s="45"/>
      <x:c r="AA141" s="471" t="str">
        <x:f t="shared" si="192"/>
        <x:v/>
      </x:c>
      <x:c r="AB141" s="471" t="str">
        <x:f t="shared" si="193"/>
        <x:v/>
      </x:c>
      <x:c r="AC141" s="471" t="str">
        <x:f t="shared" si="194"/>
        <x:v/>
      </x:c>
      <x:c r="AD141" s="471" t="str">
        <x:f t="shared" si="195"/>
        <x:v/>
      </x:c>
      <x:c r="AE141" s="46"/>
      <x:c r="AF141" s="471" t="str">
        <x:f t="shared" si="196"/>
        <x:v/>
      </x:c>
      <x:c r="AG141" s="471" t="str">
        <x:f t="shared" si="197"/>
        <x:v/>
      </x:c>
      <x:c r="AH141" s="471" t="str">
        <x:f t="shared" si="198"/>
        <x:v/>
      </x:c>
      <x:c r="AI141" s="471" t="str">
        <x:f t="shared" si="199"/>
        <x:v/>
      </x:c>
      <x:c r="AJ141" s="87"/>
      <x:c r="AK141" s="374" t="str">
        <x:f>IF($AQ141="","",IF(OR($AL141="",$AL141="도비"),"",CONCATENATE($AQ141,"-",COUNTIF($AQ$8:$AQ141,$AQ141))))</x:f>
        <x:v/>
      </x:c>
      <x:c r="AL141" s="374" t="str">
        <x:f t="shared" si="200"/>
        <x:v/>
      </x:c>
      <x:c r="AM141" s="87"/>
      <x:c r="AN141" s="375" t="str">
        <x:f>IF($AQ141="","",IF(OR($AO141="",$AO141="국비",$AO141="자체"),"",CONCATENATE($AQ141,"-",$AO141,"-",COUNTIF($AQ$8:$AQ141,$AQ141))))</x:f>
        <x:v/>
      </x:c>
      <x:c r="AO141" s="375" t="str">
        <x:f t="shared" si="201"/>
        <x:v/>
      </x:c>
      <x:c r="AP141" s="87"/>
      <x:c r="AQ141" s="374" t="str">
        <x:f t="array" ref="AQ141:AQ141">IF(OR($D141="",$C141="직접입력",$B141="직접입력"),"",INDEX(구분표!$I$2:$I$337,MATCH(1,(구분표!$G$2:$G$337='3. 일입'!$B141)*(구분표!$E$2:$E$337='3. 일입'!$C141)*(구분표!$F$2:$F$337='3. 일입'!$D141),0)))</x:f>
        <x:v/>
      </x:c>
      <x:c r="AR141" s="87"/>
      <x:c r="AS141" s="472" t="str">
        <x:f>IF($AK141="","",SUMIFS('3. 일출(의존)'!$AB$7:$AB$1989,'3. 일출(의존)'!$AN$7:$AN$1989,$AK141))</x:f>
        <x:v/>
      </x:c>
      <x:c r="AT141" s="377" t="str">
        <x:f>IF($AK141="","",COUNTIF('3. 일출(의존)'!$AN$7:$AN$1989,$AK141))</x:f>
        <x:v/>
      </x:c>
      <x:c r="AU141" s="374" t="str">
        <x:f t="shared" si="202"/>
        <x:v/>
      </x:c>
      <x:c r="AV141" s="472" t="str">
        <x:f>IF($AN141="","",IF($AO141="지역개발기금",SUMIFS('3. 일출(의존)'!$AE$8:$AE$2000,'3. 일출(의존)'!$AS$8:$AS$2000,$AN141)+SUMIFS('3. 일출(자체)'!$AE$8:$AE$2000,'3. 일출(자체)'!$AM$8:$AM$2000,$AN141),IF($AO141="지방채",SUMIFS('3. 일출(의존)'!$AD$8:$AD$2000,'3. 일출(의존)'!$AS$8:$AS$2000,$AN141)+SUMIFS('3. 일출(자체)'!$AD$8:$AD$2000,'3. 일출(자체)'!$AM$8:$AM$2000,$AN141),0)))</x:f>
        <x:v/>
      </x:c>
      <x:c r="AW141" s="377" t="str">
        <x:f>IF($AN141="","",COUNTIF('3. 일출(의존)'!$AS$8:$AS$2000,$AN141)+COUNTIF('3. 일출(자체)'!$AM$8:$AM$2000,$AN141))</x:f>
        <x:v/>
      </x:c>
      <x:c r="AX141" s="374" t="str">
        <x:f t="shared" si="203"/>
        <x:v/>
      </x:c>
      <x:c r="AY141" s="91"/>
      <x:c r="AZ141" s="472" t="str">
        <x:f>IF($AK141="","",SUMIFS('3. 일출(의존)'!$AH$8:$AH$1989,'3. 일출(의존)'!$AN$8:$AN$1989,$AK141))</x:f>
        <x:v/>
      </x:c>
      <x:c r="BA141" s="377" t="str">
        <x:f>IF($AK141="","",COUNTIF('3. 일출(의존)'!$AN$7:$AN$1989,$AK141))</x:f>
        <x:v/>
      </x:c>
      <x:c r="BB141" s="374" t="str">
        <x:f t="shared" si="204"/>
        <x:v/>
      </x:c>
      <x:c r="BC141" s="472" t="str">
        <x:f>IF($AN141="","",IF($AO141="지역개발기금",SUMIFS('3. 일출(의존)'!$AK$8:$AK$2000,'3. 일출(의존)'!$AS$8:$AS$2000,$AN141)+SUMIFS('3. 일출(자체)'!$AJ$8:$AJ$2000,'3. 일출(자체)'!$AM$8:$AM$2000,$AN141),IF($AO141="지방채",SUMIFS('3. 일출(의존)'!$AJ$8:$AJ$2000,'3. 일출(의존)'!$AS$8:$AS$2000,$AN141)+SUMIFS('3. 일출(자체)'!$AI$8:$AI$2000,'3. 일출(자체)'!$AM$8:$AM$2000,$AN141),0)))</x:f>
        <x:v/>
      </x:c>
      <x:c r="BD141" s="377" t="str">
        <x:f>IF($AN141="","",COUNTIF('3. 일출(의존)'!$AS$8:$AS$2000,$AN141)+COUNTIF('3. 일출(자체)'!$AM$8:$AM$2000,$AN141))</x:f>
        <x:v/>
      </x:c>
      <x:c r="BE141" s="374" t="str">
        <x:f t="shared" si="205"/>
        <x:v/>
      </x:c>
    </x:row>
    <x:row r="142" spans="1:57" s="20" customFormat="1" ht="80.099999999999994" customHeight="1">
      <x:c r="A142" s="155" t="str">
        <x:f>IF(D142="","",COUNTA($C$8:C142)-COUNTBLANK($C$8:C142)+8)</x:f>
        <x:v/>
      </x:c>
      <x:c r="B142" s="156" t="str">
        <x: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x:f>
        <x:v/>
      </x:c>
      <x:c r="C142" s="156" t="str">
        <x:f>IF(D142="","",IF(OR(D142="교육지원과",D142="총무과",D142="인사과"),"직접입력",VLOOKUP(D142,구분표!$A$3:$C$258,3,)))</x:f>
        <x:v/>
      </x:c>
      <x:c r="D142" s="219"/>
      <x:c r="E142" s="213"/>
      <x:c r="F142" s="388" t="str">
        <x:f t="shared" si="206"/>
        <x:v/>
      </x:c>
      <x:c r="G142" s="388" t="str">
        <x:f t="shared" si="206"/>
        <x:v/>
      </x:c>
      <x:c r="H142" s="213"/>
      <x:c r="I142" s="156" t="str">
        <x:f>IF(H142="","",VLOOKUP($H142,구분표!$O$3:$P$168,2,FALSE))</x:f>
        <x:v/>
      </x:c>
      <x:c r="J142" s="215"/>
      <x:c r="K142" s="459" t="str">
        <x:f t="shared" si="207"/>
        <x:v/>
      </x:c>
      <x:c r="L142" s="459" t="str">
        <x:f t="shared" si="208"/>
        <x:v/>
      </x:c>
      <x:c r="M142" s="461" t="str">
        <x:f t="shared" si="187"/>
        <x:v/>
      </x:c>
      <x:c r="N142" s="460"/>
      <x:c r="O142" s="461">
        <x:f t="shared" si="188"/>
        <x:v>0</x:v>
      </x:c>
      <x:c r="P142" s="462"/>
      <x:c r="Q142" s="463">
        <x:f t="shared" si="189"/>
        <x:v>0</x:v>
      </x:c>
      <x:c r="R142" s="162" t="str">
        <x:f t="shared" si="190"/>
        <x:v>X</x:v>
      </x:c>
      <x:c r="S142" s="216"/>
      <x:c r="T142" s="327"/>
      <x:c r="U142" s="217"/>
      <x:c r="V142" s="203"/>
      <x:c r="W142" s="217"/>
      <x:c r="X142" s="217"/>
      <x:c r="Y142" s="162" t="str">
        <x:f t="shared" si="191"/>
        <x:v/>
      </x:c>
      <x:c r="Z142" s="45"/>
      <x:c r="AA142" s="471" t="str">
        <x:f t="shared" si="192"/>
        <x:v/>
      </x:c>
      <x:c r="AB142" s="471" t="str">
        <x:f t="shared" si="193"/>
        <x:v/>
      </x:c>
      <x:c r="AC142" s="471" t="str">
        <x:f t="shared" si="194"/>
        <x:v/>
      </x:c>
      <x:c r="AD142" s="471" t="str">
        <x:f t="shared" si="195"/>
        <x:v/>
      </x:c>
      <x:c r="AE142" s="46"/>
      <x:c r="AF142" s="471" t="str">
        <x:f t="shared" si="196"/>
        <x:v/>
      </x:c>
      <x:c r="AG142" s="471" t="str">
        <x:f t="shared" si="197"/>
        <x:v/>
      </x:c>
      <x:c r="AH142" s="471" t="str">
        <x:f t="shared" si="198"/>
        <x:v/>
      </x:c>
      <x:c r="AI142" s="471" t="str">
        <x:f t="shared" si="199"/>
        <x:v/>
      </x:c>
      <x:c r="AJ142" s="87"/>
      <x:c r="AK142" s="374" t="str">
        <x:f>IF($AQ142="","",IF(OR($AL142="",$AL142="도비"),"",CONCATENATE($AQ142,"-",COUNTIF($AQ$8:$AQ142,$AQ142))))</x:f>
        <x:v/>
      </x:c>
      <x:c r="AL142" s="374" t="str">
        <x:f t="shared" si="200"/>
        <x:v/>
      </x:c>
      <x:c r="AM142" s="87"/>
      <x:c r="AN142" s="375" t="str">
        <x:f>IF($AQ142="","",IF(OR($AO142="",$AO142="국비",$AO142="자체"),"",CONCATENATE($AQ142,"-",$AO142,"-",COUNTIF($AQ$8:$AQ142,$AQ142))))</x:f>
        <x:v/>
      </x:c>
      <x:c r="AO142" s="375" t="str">
        <x:f t="shared" si="201"/>
        <x:v/>
      </x:c>
      <x:c r="AP142" s="87"/>
      <x:c r="AQ142" s="374" t="str">
        <x:f t="array" ref="AQ142:AQ142">IF(OR($D142="",$C142="직접입력",$B142="직접입력"),"",INDEX(구분표!$I$2:$I$337,MATCH(1,(구분표!$G$2:$G$337='3. 일입'!$B142)*(구분표!$E$2:$E$337='3. 일입'!$C142)*(구분표!$F$2:$F$337='3. 일입'!$D142),0)))</x:f>
        <x:v/>
      </x:c>
      <x:c r="AR142" s="87"/>
      <x:c r="AS142" s="472" t="str">
        <x:f>IF($AK142="","",SUMIFS('3. 일출(의존)'!$AB$7:$AB$1989,'3. 일출(의존)'!$AN$7:$AN$1989,$AK142))</x:f>
        <x:v/>
      </x:c>
      <x:c r="AT142" s="377" t="str">
        <x:f>IF($AK142="","",COUNTIF('3. 일출(의존)'!$AN$7:$AN$1989,$AK142))</x:f>
        <x:v/>
      </x:c>
      <x:c r="AU142" s="374" t="str">
        <x:f t="shared" si="202"/>
        <x:v/>
      </x:c>
      <x:c r="AV142" s="472" t="str">
        <x:f>IF($AN142="","",IF($AO142="지역개발기금",SUMIFS('3. 일출(의존)'!$AE$8:$AE$2000,'3. 일출(의존)'!$AS$8:$AS$2000,$AN142)+SUMIFS('3. 일출(자체)'!$AE$8:$AE$2000,'3. 일출(자체)'!$AM$8:$AM$2000,$AN142),IF($AO142="지방채",SUMIFS('3. 일출(의존)'!$AD$8:$AD$2000,'3. 일출(의존)'!$AS$8:$AS$2000,$AN142)+SUMIFS('3. 일출(자체)'!$AD$8:$AD$2000,'3. 일출(자체)'!$AM$8:$AM$2000,$AN142),0)))</x:f>
        <x:v/>
      </x:c>
      <x:c r="AW142" s="377" t="str">
        <x:f>IF($AN142="","",COUNTIF('3. 일출(의존)'!$AS$8:$AS$2000,$AN142)+COUNTIF('3. 일출(자체)'!$AM$8:$AM$2000,$AN142))</x:f>
        <x:v/>
      </x:c>
      <x:c r="AX142" s="374" t="str">
        <x:f t="shared" si="203"/>
        <x:v/>
      </x:c>
      <x:c r="AY142" s="91"/>
      <x:c r="AZ142" s="472" t="str">
        <x:f>IF($AK142="","",SUMIFS('3. 일출(의존)'!$AH$8:$AH$1989,'3. 일출(의존)'!$AN$8:$AN$1989,$AK142))</x:f>
        <x:v/>
      </x:c>
      <x:c r="BA142" s="377" t="str">
        <x:f>IF($AK142="","",COUNTIF('3. 일출(의존)'!$AN$7:$AN$1989,$AK142))</x:f>
        <x:v/>
      </x:c>
      <x:c r="BB142" s="374" t="str">
        <x:f t="shared" si="204"/>
        <x:v/>
      </x:c>
      <x:c r="BC142" s="472" t="str">
        <x:f>IF($AN142="","",IF($AO142="지역개발기금",SUMIFS('3. 일출(의존)'!$AK$8:$AK$2000,'3. 일출(의존)'!$AS$8:$AS$2000,$AN142)+SUMIFS('3. 일출(자체)'!$AJ$8:$AJ$2000,'3. 일출(자체)'!$AM$8:$AM$2000,$AN142),IF($AO142="지방채",SUMIFS('3. 일출(의존)'!$AJ$8:$AJ$2000,'3. 일출(의존)'!$AS$8:$AS$2000,$AN142)+SUMIFS('3. 일출(자체)'!$AI$8:$AI$2000,'3. 일출(자체)'!$AM$8:$AM$2000,$AN142),0)))</x:f>
        <x:v/>
      </x:c>
      <x:c r="BD142" s="377" t="str">
        <x:f>IF($AN142="","",COUNTIF('3. 일출(의존)'!$AS$8:$AS$2000,$AN142)+COUNTIF('3. 일출(자체)'!$AM$8:$AM$2000,$AN142))</x:f>
        <x:v/>
      </x:c>
      <x:c r="BE142" s="374" t="str">
        <x:f t="shared" si="205"/>
        <x:v/>
      </x:c>
    </x:row>
    <x:row r="143" spans="1:57" s="20" customFormat="1" ht="80.099999999999994" customHeight="1">
      <x:c r="A143" s="155" t="str">
        <x:f>IF(D143="","",COUNTA($C$8:C143)-COUNTBLANK($C$8:C143)+8)</x:f>
        <x:v/>
      </x:c>
      <x:c r="B143" s="156" t="str">
        <x: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x:f>
        <x:v/>
      </x:c>
      <x:c r="C143" s="156" t="str">
        <x:f>IF(D143="","",IF(OR(D143="교육지원과",D143="총무과",D143="인사과"),"직접입력",VLOOKUP(D143,구분표!$A$3:$C$258,3,)))</x:f>
        <x:v/>
      </x:c>
      <x:c r="D143" s="219"/>
      <x:c r="E143" s="213"/>
      <x:c r="F143" s="388" t="str">
        <x:f t="shared" si="206"/>
        <x:v/>
      </x:c>
      <x:c r="G143" s="388" t="str">
        <x:f t="shared" si="206"/>
        <x:v/>
      </x:c>
      <x:c r="H143" s="213"/>
      <x:c r="I143" s="156" t="str">
        <x:f>IF(H143="","",VLOOKUP($H143,구분표!$O$3:$P$168,2,FALSE))</x:f>
        <x:v/>
      </x:c>
      <x:c r="J143" s="215"/>
      <x:c r="K143" s="459" t="str">
        <x:f t="shared" si="207"/>
        <x:v/>
      </x:c>
      <x:c r="L143" s="459" t="str">
        <x:f t="shared" si="208"/>
        <x:v/>
      </x:c>
      <x:c r="M143" s="461" t="str">
        <x:f t="shared" si="187"/>
        <x:v/>
      </x:c>
      <x:c r="N143" s="460"/>
      <x:c r="O143" s="461">
        <x:f t="shared" si="188"/>
        <x:v>0</x:v>
      </x:c>
      <x:c r="P143" s="462"/>
      <x:c r="Q143" s="463">
        <x:f t="shared" si="189"/>
        <x:v>0</x:v>
      </x:c>
      <x:c r="R143" s="162" t="str">
        <x:f t="shared" si="190"/>
        <x:v>X</x:v>
      </x:c>
      <x:c r="S143" s="216"/>
      <x:c r="T143" s="327"/>
      <x:c r="U143" s="217"/>
      <x:c r="V143" s="203"/>
      <x:c r="W143" s="217"/>
      <x:c r="X143" s="217"/>
      <x:c r="Y143" s="162" t="str">
        <x:f t="shared" si="191"/>
        <x:v/>
      </x:c>
      <x:c r="Z143" s="45"/>
      <x:c r="AA143" s="471" t="str">
        <x:f t="shared" si="192"/>
        <x:v/>
      </x:c>
      <x:c r="AB143" s="471" t="str">
        <x:f t="shared" si="193"/>
        <x:v/>
      </x:c>
      <x:c r="AC143" s="471" t="str">
        <x:f t="shared" si="194"/>
        <x:v/>
      </x:c>
      <x:c r="AD143" s="471" t="str">
        <x:f t="shared" si="195"/>
        <x:v/>
      </x:c>
      <x:c r="AE143" s="46"/>
      <x:c r="AF143" s="471" t="str">
        <x:f t="shared" si="196"/>
        <x:v/>
      </x:c>
      <x:c r="AG143" s="471" t="str">
        <x:f t="shared" si="197"/>
        <x:v/>
      </x:c>
      <x:c r="AH143" s="471" t="str">
        <x:f t="shared" si="198"/>
        <x:v/>
      </x:c>
      <x:c r="AI143" s="471" t="str">
        <x:f t="shared" si="199"/>
        <x:v/>
      </x:c>
      <x:c r="AJ143" s="87"/>
      <x:c r="AK143" s="374" t="str">
        <x:f>IF($AQ143="","",IF(OR($AL143="",$AL143="도비"),"",CONCATENATE($AQ143,"-",COUNTIF($AQ$8:$AQ143,$AQ143))))</x:f>
        <x:v/>
      </x:c>
      <x:c r="AL143" s="374" t="str">
        <x:f t="shared" si="200"/>
        <x:v/>
      </x:c>
      <x:c r="AM143" s="87"/>
      <x:c r="AN143" s="375" t="str">
        <x:f>IF($AQ143="","",IF(OR($AO143="",$AO143="국비",$AO143="자체"),"",CONCATENATE($AQ143,"-",$AO143,"-",COUNTIF($AQ$8:$AQ143,$AQ143))))</x:f>
        <x:v/>
      </x:c>
      <x:c r="AO143" s="375" t="str">
        <x:f t="shared" si="201"/>
        <x:v/>
      </x:c>
      <x:c r="AP143" s="87"/>
      <x:c r="AQ143" s="374" t="str">
        <x:f t="array" ref="AQ143:AQ143">IF(OR($D143="",$C143="직접입력",$B143="직접입력"),"",INDEX(구분표!$I$2:$I$337,MATCH(1,(구분표!$G$2:$G$337='3. 일입'!$B143)*(구분표!$E$2:$E$337='3. 일입'!$C143)*(구분표!$F$2:$F$337='3. 일입'!$D143),0)))</x:f>
        <x:v/>
      </x:c>
      <x:c r="AR143" s="87"/>
      <x:c r="AS143" s="472" t="str">
        <x:f>IF($AK143="","",SUMIFS('3. 일출(의존)'!$AB$7:$AB$1989,'3. 일출(의존)'!$AN$7:$AN$1989,$AK143))</x:f>
        <x:v/>
      </x:c>
      <x:c r="AT143" s="377" t="str">
        <x:f>IF($AK143="","",COUNTIF('3. 일출(의존)'!$AN$7:$AN$1989,$AK143))</x:f>
        <x:v/>
      </x:c>
      <x:c r="AU143" s="374" t="str">
        <x:f t="shared" si="202"/>
        <x:v/>
      </x:c>
      <x:c r="AV143" s="472" t="str">
        <x:f>IF($AN143="","",IF($AO143="지역개발기금",SUMIFS('3. 일출(의존)'!$AE$8:$AE$2000,'3. 일출(의존)'!$AS$8:$AS$2000,$AN143)+SUMIFS('3. 일출(자체)'!$AE$8:$AE$2000,'3. 일출(자체)'!$AM$8:$AM$2000,$AN143),IF($AO143="지방채",SUMIFS('3. 일출(의존)'!$AD$8:$AD$2000,'3. 일출(의존)'!$AS$8:$AS$2000,$AN143)+SUMIFS('3. 일출(자체)'!$AD$8:$AD$2000,'3. 일출(자체)'!$AM$8:$AM$2000,$AN143),0)))</x:f>
        <x:v/>
      </x:c>
      <x:c r="AW143" s="377" t="str">
        <x:f>IF($AN143="","",COUNTIF('3. 일출(의존)'!$AS$8:$AS$2000,$AN143)+COUNTIF('3. 일출(자체)'!$AM$8:$AM$2000,$AN143))</x:f>
        <x:v/>
      </x:c>
      <x:c r="AX143" s="374" t="str">
        <x:f t="shared" si="203"/>
        <x:v/>
      </x:c>
      <x:c r="AY143" s="91"/>
      <x:c r="AZ143" s="472" t="str">
        <x:f>IF($AK143="","",SUMIFS('3. 일출(의존)'!$AH$8:$AH$1989,'3. 일출(의존)'!$AN$8:$AN$1989,$AK143))</x:f>
        <x:v/>
      </x:c>
      <x:c r="BA143" s="377" t="str">
        <x:f>IF($AK143="","",COUNTIF('3. 일출(의존)'!$AN$7:$AN$1989,$AK143))</x:f>
        <x:v/>
      </x:c>
      <x:c r="BB143" s="374" t="str">
        <x:f t="shared" si="204"/>
        <x:v/>
      </x:c>
      <x:c r="BC143" s="472" t="str">
        <x:f>IF($AN143="","",IF($AO143="지역개발기금",SUMIFS('3. 일출(의존)'!$AK$8:$AK$2000,'3. 일출(의존)'!$AS$8:$AS$2000,$AN143)+SUMIFS('3. 일출(자체)'!$AJ$8:$AJ$2000,'3. 일출(자체)'!$AM$8:$AM$2000,$AN143),IF($AO143="지방채",SUMIFS('3. 일출(의존)'!$AJ$8:$AJ$2000,'3. 일출(의존)'!$AS$8:$AS$2000,$AN143)+SUMIFS('3. 일출(자체)'!$AI$8:$AI$2000,'3. 일출(자체)'!$AM$8:$AM$2000,$AN143),0)))</x:f>
        <x:v/>
      </x:c>
      <x:c r="BD143" s="377" t="str">
        <x:f>IF($AN143="","",COUNTIF('3. 일출(의존)'!$AS$8:$AS$2000,$AN143)+COUNTIF('3. 일출(자체)'!$AM$8:$AM$2000,$AN143))</x:f>
        <x:v/>
      </x:c>
      <x:c r="BE143" s="374" t="str">
        <x:f t="shared" si="205"/>
        <x:v/>
      </x:c>
    </x:row>
    <x:row r="144" spans="1:57" ht="60" customHeight="1">
      <x:c r="A144" s="210"/>
      <x:c r="B144" s="951" t="s">
        <x:v>1531</x:v>
      </x:c>
      <x:c r="C144" s="951"/>
      <x:c r="D144" s="951"/>
      <x:c r="E144" s="951"/>
      <x:c r="F144" s="951"/>
      <x:c r="G144" s="951"/>
      <x:c r="H144" s="210"/>
      <x:c r="I144" s="79"/>
      <x:c r="J144" s="409" t="str">
        <x:f>SUBTOTAL(3,J145:J160)&amp;"건"</x:f>
        <x:v>5건</x:v>
      </x:c>
      <x:c r="K144" s="458">
        <x:f t="shared" ref="K144:L144" si="209">SUBTOTAL(9,K145:K160)</x:f>
        <x:v>10930645</x:v>
      </x:c>
      <x:c r="L144" s="458">
        <x:f t="shared" si="209"/>
        <x:v>538658</x:v>
      </x:c>
      <x:c r="M144" s="458">
        <x:f t="shared" ref="M144:Q144" si="210">SUBTOTAL(9,M145:M160)</x:f>
        <x:v>11469303</x:v>
      </x:c>
      <x:c r="N144" s="458">
        <x:f t="shared" si="210"/>
        <x:v>-402425</x:v>
      </x:c>
      <x:c r="O144" s="458">
        <x:f t="shared" si="210"/>
        <x:v>11066878</x:v>
      </x:c>
      <x:c r="P144" s="458">
        <x:f t="shared" si="210"/>
        <x:v>0</x:v>
      </x:c>
      <x:c r="Q144" s="458">
        <x:f t="shared" si="210"/>
        <x:v>11469303</x:v>
      </x:c>
      <x:c r="R144" s="78"/>
      <x:c r="S144" s="78"/>
      <x:c r="T144" s="78"/>
      <x:c r="U144" s="78"/>
      <x:c r="V144" s="78"/>
      <x:c r="W144" s="78"/>
      <x:c r="X144" s="78"/>
      <x:c r="Y144" s="80"/>
      <x:c r="Z144" s="43"/>
      <x:c r="AA144" s="470">
        <x:f>SUBTOTAL(9,AA145:AA160)</x:f>
        <x:v>84100</x:v>
      </x:c>
      <x:c r="AB144" s="470">
        <x:f t="shared" ref="AB144:AD144" si="211">SUBTOTAL(9,AB145:AB160)</x:f>
        <x:v>-22405</x:v>
      </x:c>
      <x:c r="AC144" s="470">
        <x:f t="shared" si="211"/>
        <x:v>-464120</x:v>
      </x:c>
      <x:c r="AD144" s="470">
        <x:f t="shared" si="211"/>
        <x:v>0</x:v>
      </x:c>
      <x:c r="AE144" s="166"/>
      <x:c r="AF144" s="470">
        <x:f>SUBTOTAL(9,AF145:AF160)</x:f>
        <x:v>0</x:v>
      </x:c>
      <x:c r="AG144" s="470">
        <x:f t="shared" ref="AG144:AI144" si="212">SUBTOTAL(9,AG145:AG160)</x:f>
        <x:v>0</x:v>
      </x:c>
      <x:c r="AH144" s="470">
        <x:f t="shared" si="212"/>
        <x:v>0</x:v>
      </x:c>
      <x:c r="AI144" s="470">
        <x:f t="shared" si="212"/>
        <x:v>0</x:v>
      </x:c>
      <x:c r="AJ144" s="53"/>
      <x:c r="AK144" s="80"/>
      <x:c r="AL144" s="80"/>
      <x:c r="AM144" s="53"/>
      <x:c r="AN144" s="80"/>
      <x:c r="AO144" s="80"/>
      <x:c r="AP144" s="53"/>
      <x:c r="AQ144" s="80"/>
      <x:c r="AR144" s="53"/>
      <x:c r="AS144" s="470">
        <x:f>SUBTOTAL(9,AS145:AS160)</x:f>
        <x:v>47350</x:v>
      </x:c>
      <x:c r="AT144" s="470">
        <x:f>SUBTOTAL(9,AT145:AT160)</x:f>
        <x:v>2</x:v>
      </x:c>
      <x:c r="AU144" s="554" t="str">
        <x:f>IF(COUNTIF(AU145:AU160,"@@")&gt;0,"@@","OK")</x:f>
        <x:v>@@</x:v>
      </x:c>
      <x:c r="AV144" s="470">
        <x:f>SUBTOTAL(9,AV145:AV160)</x:f>
        <x:v>-464120</x:v>
      </x:c>
      <x:c r="AW144" s="470">
        <x:f>SUBTOTAL(9,AW145:AW160)</x:f>
        <x:v>1</x:v>
      </x:c>
      <x:c r="AX144" s="554" t="str">
        <x:f>IF(COUNTIF(AX145:AX160,"@@")&gt;0,"@@","OK")</x:f>
        <x:v>OK</x:v>
      </x:c>
      <x:c r="AY144" s="53"/>
      <x:c r="AZ144" s="470">
        <x:f>SUBTOTAL(9,AZ145:AZ160)</x:f>
        <x:v>0</x:v>
      </x:c>
      <x:c r="BA144" s="470">
        <x:f>SUBTOTAL(9,BA145:BA160)</x:f>
        <x:v>2</x:v>
      </x:c>
      <x:c r="BB144" s="554" t="str">
        <x:f>IF(COUNTIF(BB145:BB160,"@@")&gt;0,"@@","OK")</x:f>
        <x:v>OK</x:v>
      </x:c>
      <x:c r="BC144" s="470">
        <x:f>SUBTOTAL(9,BC145:BC160)</x:f>
        <x:v>0</x:v>
      </x:c>
      <x:c r="BD144" s="470">
        <x:f>SUBTOTAL(9,BD145:BD160)</x:f>
        <x:v>1</x:v>
      </x:c>
      <x:c r="BE144" s="554" t="str">
        <x:f>IF(COUNTIF(BE145:BE160,"@@")&gt;0,"@@","OK")</x:f>
        <x:v>OK</x:v>
      </x:c>
    </x:row>
    <x:row r="145" spans="1:57" s="20" customFormat="1" ht="80.099999999999994" customHeight="1">
      <x:c r="A145" s="155">
        <x:f>IF(D145="","",COUNTA($C$8:C145)-COUNTBLANK($C$8:C145)+9)</x:f>
        <x:v>1</x:v>
      </x:c>
      <x:c r="B145" s="156" t="str">
        <x: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x:f>
        <x:v>도시환경위원회</x:v>
      </x:c>
      <x:c r="C145" s="156" t="str">
        <x:f>IF(D145="","",IF(OR(D145="교육지원과",D145="총무과",D145="인사과"),"직접입력",VLOOKUP(D145,구분표!$A$3:$C$258,3,)))</x:f>
        <x:v>도시주택실</x:v>
      </x:c>
      <x:c r="D145" s="219" t="s">
        <x:v>2010</x:v>
      </x:c>
      <x:c r="E145" s="213" t="s">
        <x:v>414</x:v>
      </x:c>
      <x:c r="F145" s="388">
        <x:v>0</x:v>
      </x:c>
      <x:c r="G145" s="388">
        <x:v>0</x:v>
      </x:c>
      <x:c r="H145" s="213" t="s">
        <x:v>814</x:v>
      </x:c>
      <x:c r="I145" s="156" t="str">
        <x:f>IF(H145="","",VLOOKUP($H145,구분표!$O$3:$P$168,2,FALSE))</x:f>
        <x:v>지역균형발전특별회계보조금</x:v>
      </x:c>
      <x:c r="J145" s="215" t="s">
        <x:v>1701</x:v>
      </x:c>
      <x:c r="K145" s="459">
        <x:v>9211100</x:v>
      </x:c>
      <x:c r="L145" s="459">
        <x:v>0</x:v>
      </x:c>
      <x:c r="M145" s="461">
        <x:f t="shared" ref="M145:M160" si="213">IF($E145="","",SUM(K145:L145))</x:f>
        <x:v>9211100</x:v>
      </x:c>
      <x:c r="N145" s="460">
        <x:v>33850</x:v>
      </x:c>
      <x:c r="O145" s="461">
        <x:f t="shared" ref="O145:O160" si="214">SUM(M145:N145)</x:f>
        <x:v>9244950</x:v>
      </x:c>
      <x:c r="P145" s="462"/>
      <x:c r="Q145" s="463">
        <x:f t="shared" ref="Q145:Q160" si="215">SUM(M145,P145)</x:f>
        <x:v>9211100</x:v>
      </x:c>
      <x:c r="R145" s="162" t="str">
        <x:f t="shared" ref="R145:R160" si="216">IF(AND((O145=0),(Q145&gt;0)),"O",IF(AND((N145&lt;0),(O145-Q145&lt;0)),"O","X"))</x:f>
        <x:v>X</x:v>
      </x:c>
      <x:c r="S145" s="216" t="s">
        <x:v>1770</x:v>
      </x:c>
      <x:c r="T145" s="327"/>
      <x:c r="U145" s="217"/>
      <x:c r="V145" s="203"/>
      <x:c r="W145" s="217"/>
      <x:c r="X145" s="217"/>
      <x:c r="Y145" s="162" t="str">
        <x:f t="shared" ref="Y145:Y160" si="217">IF($H145="","",IF(OR($H145="511-01",$H145="511-02",$H145="511-03",$H145="311-02",$H145="311-04",$H145="321-01"),"국비","도비"))</x:f>
        <x:v>국비</x:v>
      </x:c>
      <x:c r="Z145" s="45"/>
      <x:c r="AA145" s="471">
        <x:f t="shared" ref="AA145:AA160" si="218">IF($Y145="국비",IF($N145&lt;&gt;"",$N145,0),"")</x:f>
        <x:v>33850</x:v>
      </x:c>
      <x:c r="AB145" s="471" t="str">
        <x:f t="shared" ref="AB145:AB160" si="219">IF($Y145="도비",IF($AO145="자체",IF($N145&lt;&gt;"",$N145,0),""),"")</x:f>
        <x:v/>
      </x:c>
      <x:c r="AC145" s="471" t="str">
        <x:f t="shared" ref="AC145:AC160" si="220">IF($Y145="도비",IF($AO145="지방채",IF($N145&lt;&gt;"",$N145,0),""),"")</x:f>
        <x:v/>
      </x:c>
      <x:c r="AD145" s="471" t="str">
        <x:f t="shared" ref="AD145:AD160" si="221">IF($Y145="도비",IF($AO145="지역개발기금",IF($N145&lt;&gt;"",$N145,0),""),"")</x:f>
        <x:v/>
      </x:c>
      <x:c r="AE145" s="46"/>
      <x:c r="AF145" s="471">
        <x:f t="shared" ref="AF145:AF160" si="222">IF($Y145="국비",IF($P145&lt;&gt;"",$P145,0),"")</x:f>
        <x:v>0</x:v>
      </x:c>
      <x:c r="AG145" s="471" t="str">
        <x:f t="shared" ref="AG145:AG160" si="223">IF($Y145="도비",IF($AO145="자체",IF($P145&lt;&gt;"",$P145,0),""),"")</x:f>
        <x:v/>
      </x:c>
      <x:c r="AH145" s="471" t="str">
        <x:f t="shared" ref="AH145:AH160" si="224">IF($Y145="도비",IF($AO145="지방채",IF($P145&lt;&gt;"",$P145,0),""),"")</x:f>
        <x:v/>
      </x:c>
      <x:c r="AI145" s="471" t="str">
        <x:f t="shared" ref="AI145:AI160" si="225">IF($Y145="도비",IF($AO145="지역개발기금",IF($P145&lt;&gt;"",$P145,0),""),"")</x:f>
        <x:v/>
      </x:c>
      <x:c r="AJ145" s="87"/>
      <x:c r="AK145" s="374" t="str">
        <x:f>IF($AQ145="","",IF(OR($AL145="",$AL145="도비"),"",CONCATENATE($AQ145,"-",COUNTIF($AQ$8:$AQ145,$AQ145))))</x:f>
        <x:v>10701-1</x:v>
      </x:c>
      <x:c r="AL145" s="374" t="str">
        <x:f t="shared" ref="AL145:AL160" si="226">IF($H145="","",IF($H145="511-01","국비",IF($H145="511-02","균특",IF($H145="511-03","기금",IF($H145="311-02","특교",IF($H145="311-04","소교",IF($H145="321-01","소멸","도비")))))))</x:f>
        <x:v>균특</x:v>
      </x:c>
      <x:c r="AM145" s="87"/>
      <x:c r="AN145" s="375" t="str">
        <x:f>IF($AQ145="","",IF(OR($AO145="",$AO145="국비",$AO145="자체"),"",CONCATENATE($AQ145,"-",$AO145,"-",COUNTIF($AQ$8:$AQ145,$AQ145))))</x:f>
        <x:v/>
      </x:c>
      <x:c r="AO145" s="375" t="str">
        <x:f t="shared" ref="AO145:AO160" si="227">IF($Y145="","",IF($Y145="국비","국비",IF($H145="612-01","지방채",IF($H145="722-02","지역개발기금","자체"))))</x:f>
        <x:v>국비</x:v>
      </x:c>
      <x:c r="AP145" s="87"/>
      <x:c r="AQ145" s="374" t="str">
        <x:f t="array" ref="AQ145:AQ145">IF(OR($D145="",$C145="직접입력",$B145="직접입력"),"",INDEX(구분표!$I$2:$I$337,MATCH(1,(구분표!$G$2:$G$337='3. 일입'!$B145)*(구분표!$E$2:$E$337='3. 일입'!$C145)*(구분표!$F$2:$F$337='3. 일입'!$D145),0)))</x:f>
        <x:v>10701</x:v>
      </x:c>
      <x:c r="AR145" s="87"/>
      <x:c r="AS145" s="472">
        <x:f>IF($AK145="","",SUMIFS('3. 일출(의존)'!$AB$7:$AB$1989,'3. 일출(의존)'!$AN$7:$AN$1989,$AK145))</x:f>
        <x:v>33850</x:v>
      </x:c>
      <x:c r="AT145" s="377">
        <x:f>IF($AK145="","",COUNTIF('3. 일출(의존)'!$AN$7:$AN$1989,$AK145))</x:f>
        <x:v>1</x:v>
      </x:c>
      <x:c r="AU145" s="374" t="str">
        <x:f t="shared" ref="AU145:AU160" si="228">IF($AK145="","",IF($AA145=$AS145,"OK","@@"))</x:f>
        <x:v>OK</x:v>
      </x:c>
      <x:c r="AV145" s="472" t="str">
        <x:f>IF($AN145="","",IF($AO145="지역개발기금",SUMIFS('3. 일출(의존)'!$AE$8:$AE$2000,'3. 일출(의존)'!$AS$8:$AS$2000,$AN145)+SUMIFS('3. 일출(자체)'!$AE$8:$AE$2000,'3. 일출(자체)'!$AM$8:$AM$2000,$AN145),IF($AO145="지방채",SUMIFS('3. 일출(의존)'!$AD$8:$AD$2000,'3. 일출(의존)'!$AS$8:$AS$2000,$AN145)+SUMIFS('3. 일출(자체)'!$AD$8:$AD$2000,'3. 일출(자체)'!$AM$8:$AM$2000,$AN145),0)))</x:f>
        <x:v/>
      </x:c>
      <x:c r="AW145" s="377" t="str">
        <x:f>IF($AN145="","",COUNTIF('3. 일출(의존)'!$AS$8:$AS$2000,$AN145)+COUNTIF('3. 일출(자체)'!$AM$8:$AM$2000,$AN145))</x:f>
        <x:v/>
      </x:c>
      <x:c r="AX145" s="374" t="str">
        <x:f t="shared" ref="AX145:AX160" si="229">IF($AN145="","",IF($AO145="자체","",IF($AO145="지방채",IF($AC145=$AV145,"OK","@@"),IF($AO145="지역개발기금",IF($AD145=$AV145,"OK","@@"),"@@"))))</x:f>
        <x:v/>
      </x:c>
      <x:c r="AY145" s="91"/>
      <x:c r="AZ145" s="472">
        <x:f>IF($AK145="","",SUMIFS('3. 일출(의존)'!$AH$8:$AH$1989,'3. 일출(의존)'!$AN$8:$AN$1989,$AK145))</x:f>
        <x:v>0</x:v>
      </x:c>
      <x:c r="BA145" s="377">
        <x:f>IF($AK145="","",COUNTIF('3. 일출(의존)'!$AN$7:$AN$1989,$AK145))</x:f>
        <x:v>1</x:v>
      </x:c>
      <x:c r="BB145" s="374" t="str">
        <x:f t="shared" ref="BB145:BB160" si="230">IF($AK145="","",IF($AF145=$AZ145,"OK","@@"))</x:f>
        <x:v>OK</x:v>
      </x:c>
      <x:c r="BC145" s="472" t="str">
        <x:f>IF($AN145="","",IF($AO145="지역개발기금",SUMIFS('3. 일출(의존)'!$AK$8:$AK$2000,'3. 일출(의존)'!$AS$8:$AS$2000,$AN145)+SUMIFS('3. 일출(자체)'!$AJ$8:$AJ$2000,'3. 일출(자체)'!$AM$8:$AM$2000,$AN145),IF($AO145="지방채",SUMIFS('3. 일출(의존)'!$AJ$8:$AJ$2000,'3. 일출(의존)'!$AS$8:$AS$2000,$AN145)+SUMIFS('3. 일출(자체)'!$AI$8:$AI$2000,'3. 일출(자체)'!$AM$8:$AM$2000,$AN145),0)))</x:f>
        <x:v/>
      </x:c>
      <x:c r="BD145" s="377" t="str">
        <x:f>IF($AN145="","",COUNTIF('3. 일출(의존)'!$AS$8:$AS$2000,$AN145)+COUNTIF('3. 일출(자체)'!$AM$8:$AM$2000,$AN145))</x:f>
        <x:v/>
      </x:c>
      <x:c r="BE145" s="374" t="str">
        <x:f t="shared" ref="BE145:BE160" si="231">IF($AN145="","",IF($AO145="자체","",IF($AO145="지방채",IF($AH145=$BC145,"OK","@@"),IF($AO145="지역개발기금",IF($AI145=$BC145,"OK","@@"),"@@"))))</x:f>
        <x:v/>
      </x:c>
    </x:row>
    <x:row r="146" spans="1:57" s="20" customFormat="1" ht="80.099999999999994" customHeight="1">
      <x:c r="A146" s="155">
        <x:f>IF(D146="","",COUNTA($C$8:C146)-COUNTBLANK($C$8:C146)+9)</x:f>
        <x:v>2</x:v>
      </x:c>
      <x:c r="B146" s="156" t="str">
        <x: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x:f>
        <x:v>도시환경위원회</x:v>
      </x:c>
      <x:c r="C146" s="156" t="str">
        <x:f>IF(D146="","",IF(OR(D146="교육지원과",D146="총무과",D146="인사과"),"직접입력",VLOOKUP(D146,구분표!$A$3:$C$258,3,)))</x:f>
        <x:v>기후환경에너지국</x:v>
      </x:c>
      <x:c r="D146" s="219" t="s">
        <x:v>2024</x:v>
      </x:c>
      <x:c r="E146" s="213" t="s">
        <x:v>414</x:v>
      </x:c>
      <x:c r="F146" s="388">
        <x:v>955</x:v>
      </x:c>
      <x:c r="G146" s="388">
        <x:v>30</x:v>
      </x:c>
      <x:c r="H146" s="213" t="s">
        <x:v>802</x:v>
      </x:c>
      <x:c r="I146" s="156" t="str">
        <x:f>IF(H146="","",VLOOKUP($H146,구분표!$O$3:$P$168,2,FALSE))</x:f>
        <x:v>모집공채</x:v>
      </x:c>
      <x:c r="J146" s="215" t="s">
        <x:v>1707</x:v>
      </x:c>
      <x:c r="K146" s="459">
        <x:v>1110900</x:v>
      </x:c>
      <x:c r="L146" s="459">
        <x:v>464120</x:v>
      </x:c>
      <x:c r="M146" s="461">
        <x:f t="shared" si="213"/>
        <x:v>1575020</x:v>
      </x:c>
      <x:c r="N146" s="460">
        <x:v>-464120</x:v>
      </x:c>
      <x:c r="O146" s="461">
        <x:f t="shared" si="214"/>
        <x:v>1110900</x:v>
      </x:c>
      <x:c r="P146" s="462"/>
      <x:c r="Q146" s="463">
        <x:f t="shared" si="215"/>
        <x:v>1575020</x:v>
      </x:c>
      <x:c r="R146" s="162" t="str">
        <x:f t="shared" si="216"/>
        <x:v>O</x:v>
      </x:c>
      <x:c r="S146" s="216"/>
      <x:c r="T146" s="327"/>
      <x:c r="U146" s="217"/>
      <x:c r="V146" s="203"/>
      <x:c r="W146" s="217"/>
      <x:c r="X146" s="217"/>
      <x:c r="Y146" s="162" t="str">
        <x:f t="shared" si="217"/>
        <x:v>도비</x:v>
      </x:c>
      <x:c r="Z146" s="45"/>
      <x:c r="AA146" s="471" t="str">
        <x:f t="shared" si="218"/>
        <x:v/>
      </x:c>
      <x:c r="AB146" s="471" t="str">
        <x:f t="shared" si="219"/>
        <x:v/>
      </x:c>
      <x:c r="AC146" s="471">
        <x:f t="shared" si="220"/>
        <x:v>-464120</x:v>
      </x:c>
      <x:c r="AD146" s="471" t="str">
        <x:f t="shared" si="221"/>
        <x:v/>
      </x:c>
      <x:c r="AE146" s="46"/>
      <x:c r="AF146" s="471" t="str">
        <x:f t="shared" si="222"/>
        <x:v/>
      </x:c>
      <x:c r="AG146" s="471" t="str">
        <x:f t="shared" si="223"/>
        <x:v/>
      </x:c>
      <x:c r="AH146" s="471">
        <x:f t="shared" si="224"/>
        <x:v>0</x:v>
      </x:c>
      <x:c r="AI146" s="471" t="str">
        <x:f t="shared" si="225"/>
        <x:v/>
      </x:c>
      <x:c r="AJ146" s="87"/>
      <x:c r="AK146" s="374" t="str">
        <x:f>IF($AQ146="","",IF(OR($AL146="",$AL146="도비"),"",CONCATENATE($AQ146,"-",COUNTIF($AQ$8:$AQ146,$AQ146))))</x:f>
        <x:v/>
      </x:c>
      <x:c r="AL146" s="374" t="str">
        <x:f t="shared" si="226"/>
        <x:v>도비</x:v>
      </x:c>
      <x:c r="AM146" s="87"/>
      <x:c r="AN146" s="375" t="str">
        <x:f>IF($AQ146="","",IF(OR($AO146="",$AO146="국비",$AO146="자체"),"",CONCATENATE($AQ146,"-",$AO146,"-",COUNTIF($AQ$8:$AQ146,$AQ146))))</x:f>
        <x:v>30407-지방채-1</x:v>
      </x:c>
      <x:c r="AO146" s="375" t="str">
        <x:f t="shared" si="227"/>
        <x:v>지방채</x:v>
      </x:c>
      <x:c r="AP146" s="87"/>
      <x:c r="AQ146" s="374" t="str">
        <x:f t="array" ref="AQ146:AQ146">IF(OR($D146="",$C146="직접입력",$B146="직접입력"),"",INDEX(구분표!$I$2:$I$337,MATCH(1,(구분표!$G$2:$G$337='3. 일입'!$B146)*(구분표!$E$2:$E$337='3. 일입'!$C146)*(구분표!$F$2:$F$337='3. 일입'!$D146),0)))</x:f>
        <x:v>30407</x:v>
      </x:c>
      <x:c r="AR146" s="87"/>
      <x:c r="AS146" s="472" t="str">
        <x:f>IF($AK146="","",SUMIFS('3. 일출(의존)'!$AB$7:$AB$1989,'3. 일출(의존)'!$AN$7:$AN$1989,$AK146))</x:f>
        <x:v/>
      </x:c>
      <x:c r="AT146" s="377" t="str">
        <x:f>IF($AK146="","",COUNTIF('3. 일출(의존)'!$AN$7:$AN$1989,$AK146))</x:f>
        <x:v/>
      </x:c>
      <x:c r="AU146" s="374" t="str">
        <x:f t="shared" si="228"/>
        <x:v/>
      </x:c>
      <x:c r="AV146" s="472">
        <x:f>IF($AN146="","",IF($AO146="지역개발기금",SUMIFS('3. 일출(의존)'!$AE$8:$AE$2000,'3. 일출(의존)'!$AS$8:$AS$2000,$AN146)+SUMIFS('3. 일출(자체)'!$AE$8:$AE$2000,'3. 일출(자체)'!$AM$8:$AM$2000,$AN146),IF($AO146="지방채",SUMIFS('3. 일출(의존)'!$AD$8:$AD$2000,'3. 일출(의존)'!$AS$8:$AS$2000,$AN146)+SUMIFS('3. 일출(자체)'!$AD$8:$AD$2000,'3. 일출(자체)'!$AM$8:$AM$2000,$AN146),0)))</x:f>
        <x:v>-464120</x:v>
      </x:c>
      <x:c r="AW146" s="377">
        <x:f>IF($AN146="","",COUNTIF('3. 일출(의존)'!$AS$8:$AS$2000,$AN146)+COUNTIF('3. 일출(자체)'!$AM$8:$AM$2000,$AN146))</x:f>
        <x:v>1</x:v>
      </x:c>
      <x:c r="AX146" s="374" t="str">
        <x:f t="shared" si="229"/>
        <x:v>OK</x:v>
      </x:c>
      <x:c r="AY146" s="91"/>
      <x:c r="AZ146" s="472" t="str">
        <x:f>IF($AK146="","",SUMIFS('3. 일출(의존)'!$AH$8:$AH$1989,'3. 일출(의존)'!$AN$8:$AN$1989,$AK146))</x:f>
        <x:v/>
      </x:c>
      <x:c r="BA146" s="377" t="str">
        <x:f>IF($AK146="","",COUNTIF('3. 일출(의존)'!$AN$7:$AN$1989,$AK146))</x:f>
        <x:v/>
      </x:c>
      <x:c r="BB146" s="374" t="str">
        <x:f t="shared" si="230"/>
        <x:v/>
      </x:c>
      <x:c r="BC146" s="472">
        <x:f>IF($AN146="","",IF($AO146="지역개발기금",SUMIFS('3. 일출(의존)'!$AK$8:$AK$2000,'3. 일출(의존)'!$AS$8:$AS$2000,$AN146)+SUMIFS('3. 일출(자체)'!$AJ$8:$AJ$2000,'3. 일출(자체)'!$AM$8:$AM$2000,$AN146),IF($AO146="지방채",SUMIFS('3. 일출(의존)'!$AJ$8:$AJ$2000,'3. 일출(의존)'!$AS$8:$AS$2000,$AN146)+SUMIFS('3. 일출(자체)'!$AI$8:$AI$2000,'3. 일출(자체)'!$AM$8:$AM$2000,$AN146),0)))</x:f>
        <x:v>0</x:v>
      </x:c>
      <x:c r="BD146" s="377">
        <x:f>IF($AN146="","",COUNTIF('3. 일출(의존)'!$AS$8:$AS$2000,$AN146)+COUNTIF('3. 일출(자체)'!$AM$8:$AM$2000,$AN146))</x:f>
        <x:v>1</x:v>
      </x:c>
      <x:c r="BE146" s="374" t="str">
        <x:f t="shared" si="231"/>
        <x:v>OK</x:v>
      </x:c>
    </x:row>
    <x:row r="147" spans="1:57" s="20" customFormat="1" ht="80.099999999999994" customHeight="1">
      <x:c r="A147" s="155">
        <x:f>IF(D147="","",COUNTA($C$8:C147)-COUNTBLANK($C$8:C147)+9)</x:f>
        <x:v>3</x:v>
      </x:c>
      <x:c r="B147" s="156" t="str">
        <x: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x:f>
        <x:v>도시환경위원회</x:v>
      </x:c>
      <x:c r="C147" s="156" t="str">
        <x:f>IF(D147="","",IF(OR(D147="교육지원과",D147="총무과",D147="인사과"),"직접입력",VLOOKUP(D147,구분표!$A$3:$C$258,3,)))</x:f>
        <x:v>수자원본부</x:v>
      </x:c>
      <x:c r="D147" s="219" t="s">
        <x:v>473</x:v>
      </x:c>
      <x:c r="E147" s="213" t="s">
        <x:v>414</x:v>
      </x:c>
      <x:c r="F147" s="388">
        <x:v>987</x:v>
      </x:c>
      <x:c r="G147" s="388">
        <x:v>5</x:v>
      </x:c>
      <x:c r="H147" s="213" t="s">
        <x:v>768</x:v>
      </x:c>
      <x:c r="I147" s="156" t="str">
        <x:f>IF(H147="","",VLOOKUP($H147,구분표!$O$3:$P$168,2,FALSE))</x:f>
        <x:v>기타이자수입</x:v>
      </x:c>
      <x:c r="J147" s="215" t="s">
        <x:v>1699</x:v>
      </x:c>
      <x:c r="K147" s="459">
        <x:v>0</x:v>
      </x:c>
      <x:c r="L147" s="459">
        <x:v>3980</x:v>
      </x:c>
      <x:c r="M147" s="461">
        <x:f t="shared" si="213"/>
        <x:v>3980</x:v>
      </x:c>
      <x:c r="N147" s="460">
        <x:v>-11</x:v>
      </x:c>
      <x:c r="O147" s="461">
        <x:f t="shared" si="214"/>
        <x:v>3969</x:v>
      </x:c>
      <x:c r="P147" s="462"/>
      <x:c r="Q147" s="463">
        <x:f t="shared" si="215"/>
        <x:v>3980</x:v>
      </x:c>
      <x:c r="R147" s="162" t="str">
        <x:f t="shared" si="216"/>
        <x:v>O</x:v>
      </x:c>
      <x:c r="S147" s="216"/>
      <x:c r="T147" s="327"/>
      <x:c r="U147" s="217"/>
      <x:c r="V147" s="203"/>
      <x:c r="W147" s="217"/>
      <x:c r="X147" s="217"/>
      <x:c r="Y147" s="162" t="str">
        <x:f t="shared" si="217"/>
        <x:v>도비</x:v>
      </x:c>
      <x:c r="Z147" s="45"/>
      <x:c r="AA147" s="471" t="str">
        <x:f t="shared" si="218"/>
        <x:v/>
      </x:c>
      <x:c r="AB147" s="471">
        <x:f t="shared" si="219"/>
        <x:v>-11</x:v>
      </x:c>
      <x:c r="AC147" s="471" t="str">
        <x:f t="shared" si="220"/>
        <x:v/>
      </x:c>
      <x:c r="AD147" s="471" t="str">
        <x:f t="shared" si="221"/>
        <x:v/>
      </x:c>
      <x:c r="AE147" s="46"/>
      <x:c r="AF147" s="471" t="str">
        <x:f t="shared" si="222"/>
        <x:v/>
      </x:c>
      <x:c r="AG147" s="471">
        <x:f t="shared" si="223"/>
        <x:v>0</x:v>
      </x:c>
      <x:c r="AH147" s="471" t="str">
        <x:f t="shared" si="224"/>
        <x:v/>
      </x:c>
      <x:c r="AI147" s="471" t="str">
        <x:f t="shared" si="225"/>
        <x:v/>
      </x:c>
      <x:c r="AJ147" s="87"/>
      <x:c r="AK147" s="374" t="str">
        <x:f>IF($AQ147="","",IF(OR($AL147="",$AL147="도비"),"",CONCATENATE($AQ147,"-",COUNTIF($AQ$8:$AQ147,$AQ147))))</x:f>
        <x:v/>
      </x:c>
      <x:c r="AL147" s="374" t="str">
        <x:f t="shared" si="226"/>
        <x:v>도비</x:v>
      </x:c>
      <x:c r="AM147" s="87"/>
      <x:c r="AN147" s="375" t="str">
        <x:f>IF($AQ147="","",IF(OR($AO147="",$AO147="국비",$AO147="자체"),"",CONCATENATE($AQ147,"-",$AO147,"-",COUNTIF($AQ$8:$AQ147,$AQ147))))</x:f>
        <x:v/>
      </x:c>
      <x:c r="AO147" s="375" t="str">
        <x:f t="shared" si="227"/>
        <x:v>자체</x:v>
      </x:c>
      <x:c r="AP147" s="87"/>
      <x:c r="AQ147" s="374" t="str">
        <x:f t="array" ref="AQ147:AQ147">IF(OR($D147="",$C147="직접입력",$B147="직접입력"),"",INDEX(구분표!$I$2:$I$337,MATCH(1,(구분표!$G$2:$G$337='3. 일입'!$B147)*(구분표!$E$2:$E$337='3. 일입'!$C147)*(구분표!$F$2:$F$337='3. 일입'!$D147),0)))</x:f>
        <x:v>50601</x:v>
      </x:c>
      <x:c r="AR147" s="87"/>
      <x:c r="AS147" s="472" t="str">
        <x:f>IF($AK147="","",SUMIFS('3. 일출(의존)'!$AB$7:$AB$1989,'3. 일출(의존)'!$AN$7:$AN$1989,$AK147))</x:f>
        <x:v/>
      </x:c>
      <x:c r="AT147" s="377" t="str">
        <x:f>IF($AK147="","",COUNTIF('3. 일출(의존)'!$AN$7:$AN$1989,$AK147))</x:f>
        <x:v/>
      </x:c>
      <x:c r="AU147" s="374" t="str">
        <x:f t="shared" si="228"/>
        <x:v/>
      </x:c>
      <x:c r="AV147" s="472" t="str">
        <x:f>IF($AN147="","",IF($AO147="지역개발기금",SUMIFS('3. 일출(의존)'!$AE$8:$AE$2000,'3. 일출(의존)'!$AS$8:$AS$2000,$AN147)+SUMIFS('3. 일출(자체)'!$AE$8:$AE$2000,'3. 일출(자체)'!$AM$8:$AM$2000,$AN147),IF($AO147="지방채",SUMIFS('3. 일출(의존)'!$AD$8:$AD$2000,'3. 일출(의존)'!$AS$8:$AS$2000,$AN147)+SUMIFS('3. 일출(자체)'!$AD$8:$AD$2000,'3. 일출(자체)'!$AM$8:$AM$2000,$AN147),0)))</x:f>
        <x:v/>
      </x:c>
      <x:c r="AW147" s="377" t="str">
        <x:f>IF($AN147="","",COUNTIF('3. 일출(의존)'!$AS$8:$AS$2000,$AN147)+COUNTIF('3. 일출(자체)'!$AM$8:$AM$2000,$AN147))</x:f>
        <x:v/>
      </x:c>
      <x:c r="AX147" s="374" t="str">
        <x:f t="shared" si="229"/>
        <x:v/>
      </x:c>
      <x:c r="AY147" s="91"/>
      <x:c r="AZ147" s="472" t="str">
        <x:f>IF($AK147="","",SUMIFS('3. 일출(의존)'!$AH$8:$AH$1989,'3. 일출(의존)'!$AN$8:$AN$1989,$AK147))</x:f>
        <x:v/>
      </x:c>
      <x:c r="BA147" s="377" t="str">
        <x:f>IF($AK147="","",COUNTIF('3. 일출(의존)'!$AN$7:$AN$1989,$AK147))</x:f>
        <x:v/>
      </x:c>
      <x:c r="BB147" s="374" t="str">
        <x:f t="shared" si="230"/>
        <x:v/>
      </x:c>
      <x:c r="BC147" s="472" t="str">
        <x:f>IF($AN147="","",IF($AO147="지역개발기금",SUMIFS('3. 일출(의존)'!$AK$8:$AK$2000,'3. 일출(의존)'!$AS$8:$AS$2000,$AN147)+SUMIFS('3. 일출(자체)'!$AJ$8:$AJ$2000,'3. 일출(자체)'!$AM$8:$AM$2000,$AN147),IF($AO147="지방채",SUMIFS('3. 일출(의존)'!$AJ$8:$AJ$2000,'3. 일출(의존)'!$AS$8:$AS$2000,$AN147)+SUMIFS('3. 일출(자체)'!$AI$8:$AI$2000,'3. 일출(자체)'!$AM$8:$AM$2000,$AN147),0)))</x:f>
        <x:v/>
      </x:c>
      <x:c r="BD147" s="377" t="str">
        <x:f>IF($AN147="","",COUNTIF('3. 일출(의존)'!$AS$8:$AS$2000,$AN147)+COUNTIF('3. 일출(자체)'!$AM$8:$AM$2000,$AN147))</x:f>
        <x:v/>
      </x:c>
      <x:c r="BE147" s="374" t="str">
        <x:f t="shared" si="231"/>
        <x:v/>
      </x:c>
    </x:row>
    <x:row r="148" spans="1:57" s="20" customFormat="1" ht="80.099999999999994" customHeight="1">
      <x:c r="A148" s="155">
        <x:f>IF(D148="","",COUNTA($C$8:C148)-COUNTBLANK($C$8:C148)+9)</x:f>
        <x:v>4</x:v>
      </x:c>
      <x:c r="B148" s="156" t="str">
        <x: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x:f>
        <x:v>도시환경위원회</x:v>
      </x:c>
      <x:c r="C148" s="156" t="str">
        <x:f>IF(D148="","",IF(OR(D148="교육지원과",D148="총무과",D148="인사과"),"직접입력",VLOOKUP(D148,구분표!$A$3:$C$258,3,)))</x:f>
        <x:v>수자원본부</x:v>
      </x:c>
      <x:c r="D148" s="219" t="s">
        <x:v>473</x:v>
      </x:c>
      <x:c r="E148" s="213" t="s">
        <x:v>414</x:v>
      </x:c>
      <x:c r="F148" s="388">
        <x:v>987</x:v>
      </x:c>
      <x:c r="G148" s="388">
        <x:v>7</x:v>
      </x:c>
      <x:c r="H148" s="213" t="s">
        <x:v>868</x:v>
      </x:c>
      <x:c r="I148" s="156" t="str">
        <x:f>IF(H148="","",VLOOKUP($H148,구분표!$O$3:$P$168,2,FALSE))</x:f>
        <x:v>자체보조금등반환수입</x:v>
      </x:c>
      <x:c r="J148" s="215" t="s">
        <x:v>1704</x:v>
      </x:c>
      <x:c r="K148" s="459">
        <x:v>0</x:v>
      </x:c>
      <x:c r="L148" s="459">
        <x:v>70558</x:v>
      </x:c>
      <x:c r="M148" s="461">
        <x:f t="shared" si="213"/>
        <x:v>70558</x:v>
      </x:c>
      <x:c r="N148" s="460">
        <x:v>-22394</x:v>
      </x:c>
      <x:c r="O148" s="461">
        <x:f t="shared" si="214"/>
        <x:v>48164</x:v>
      </x:c>
      <x:c r="P148" s="462"/>
      <x:c r="Q148" s="463">
        <x:f t="shared" si="215"/>
        <x:v>70558</x:v>
      </x:c>
      <x:c r="R148" s="162" t="str">
        <x:f t="shared" si="216"/>
        <x:v>O</x:v>
      </x:c>
      <x:c r="S148" s="216"/>
      <x:c r="T148" s="327"/>
      <x:c r="U148" s="217"/>
      <x:c r="V148" s="203"/>
      <x:c r="W148" s="217"/>
      <x:c r="X148" s="217"/>
      <x:c r="Y148" s="162" t="str">
        <x:f t="shared" si="217"/>
        <x:v>도비</x:v>
      </x:c>
      <x:c r="Z148" s="45"/>
      <x:c r="AA148" s="471" t="str">
        <x:f t="shared" si="218"/>
        <x:v/>
      </x:c>
      <x:c r="AB148" s="471">
        <x:f t="shared" si="219"/>
        <x:v>-22394</x:v>
      </x:c>
      <x:c r="AC148" s="471" t="str">
        <x:f t="shared" si="220"/>
        <x:v/>
      </x:c>
      <x:c r="AD148" s="471" t="str">
        <x:f t="shared" si="221"/>
        <x:v/>
      </x:c>
      <x:c r="AE148" s="46"/>
      <x:c r="AF148" s="471" t="str">
        <x:f t="shared" si="222"/>
        <x:v/>
      </x:c>
      <x:c r="AG148" s="471">
        <x:f t="shared" si="223"/>
        <x:v>0</x:v>
      </x:c>
      <x:c r="AH148" s="471" t="str">
        <x:f t="shared" si="224"/>
        <x:v/>
      </x:c>
      <x:c r="AI148" s="471" t="str">
        <x:f t="shared" si="225"/>
        <x:v/>
      </x:c>
      <x:c r="AJ148" s="87"/>
      <x:c r="AK148" s="374" t="str">
        <x:f>IF($AQ148="","",IF(OR($AL148="",$AL148="도비"),"",CONCATENATE($AQ148,"-",COUNTIF($AQ$8:$AQ148,$AQ148))))</x:f>
        <x:v/>
      </x:c>
      <x:c r="AL148" s="374" t="str">
        <x:f t="shared" si="226"/>
        <x:v>도비</x:v>
      </x:c>
      <x:c r="AM148" s="87"/>
      <x:c r="AN148" s="375" t="str">
        <x:f>IF($AQ148="","",IF(OR($AO148="",$AO148="국비",$AO148="자체"),"",CONCATENATE($AQ148,"-",$AO148,"-",COUNTIF($AQ$8:$AQ148,$AQ148))))</x:f>
        <x:v/>
      </x:c>
      <x:c r="AO148" s="375" t="str">
        <x:f t="shared" si="227"/>
        <x:v>자체</x:v>
      </x:c>
      <x:c r="AP148" s="87"/>
      <x:c r="AQ148" s="374" t="str">
        <x:f t="array" ref="AQ148:AQ148">IF(OR($D148="",$C148="직접입력",$B148="직접입력"),"",INDEX(구분표!$I$2:$I$337,MATCH(1,(구분표!$G$2:$G$337='3. 일입'!$B148)*(구분표!$E$2:$E$337='3. 일입'!$C148)*(구분표!$F$2:$F$337='3. 일입'!$D148),0)))</x:f>
        <x:v>50601</x:v>
      </x:c>
      <x:c r="AR148" s="87"/>
      <x:c r="AS148" s="472" t="str">
        <x:f>IF($AK148="","",SUMIFS('3. 일출(의존)'!$AB$7:$AB$1989,'3. 일출(의존)'!$AN$7:$AN$1989,$AK148))</x:f>
        <x:v/>
      </x:c>
      <x:c r="AT148" s="377" t="str">
        <x:f>IF($AK148="","",COUNTIF('3. 일출(의존)'!$AN$7:$AN$1989,$AK148))</x:f>
        <x:v/>
      </x:c>
      <x:c r="AU148" s="374" t="str">
        <x:f t="shared" si="228"/>
        <x:v/>
      </x:c>
      <x:c r="AV148" s="472" t="str">
        <x:f>IF($AN148="","",IF($AO148="지역개발기금",SUMIFS('3. 일출(의존)'!$AE$8:$AE$2000,'3. 일출(의존)'!$AS$8:$AS$2000,$AN148)+SUMIFS('3. 일출(자체)'!$AE$8:$AE$2000,'3. 일출(자체)'!$AM$8:$AM$2000,$AN148),IF($AO148="지방채",SUMIFS('3. 일출(의존)'!$AD$8:$AD$2000,'3. 일출(의존)'!$AS$8:$AS$2000,$AN148)+SUMIFS('3. 일출(자체)'!$AD$8:$AD$2000,'3. 일출(자체)'!$AM$8:$AM$2000,$AN148),0)))</x:f>
        <x:v/>
      </x:c>
      <x:c r="AW148" s="377" t="str">
        <x:f>IF($AN148="","",COUNTIF('3. 일출(의존)'!$AS$8:$AS$2000,$AN148)+COUNTIF('3. 일출(자체)'!$AM$8:$AM$2000,$AN148))</x:f>
        <x:v/>
      </x:c>
      <x:c r="AX148" s="374" t="str">
        <x:f t="shared" si="229"/>
        <x:v/>
      </x:c>
      <x:c r="AY148" s="91"/>
      <x:c r="AZ148" s="472" t="str">
        <x:f>IF($AK148="","",SUMIFS('3. 일출(의존)'!$AH$8:$AH$1989,'3. 일출(의존)'!$AN$8:$AN$1989,$AK148))</x:f>
        <x:v/>
      </x:c>
      <x:c r="BA148" s="377" t="str">
        <x:f>IF($AK148="","",COUNTIF('3. 일출(의존)'!$AN$7:$AN$1989,$AK148))</x:f>
        <x:v/>
      </x:c>
      <x:c r="BB148" s="374" t="str">
        <x:f t="shared" si="230"/>
        <x:v/>
      </x:c>
      <x:c r="BC148" s="472" t="str">
        <x:f>IF($AN148="","",IF($AO148="지역개발기금",SUMIFS('3. 일출(의존)'!$AK$8:$AK$2000,'3. 일출(의존)'!$AS$8:$AS$2000,$AN148)+SUMIFS('3. 일출(자체)'!$AJ$8:$AJ$2000,'3. 일출(자체)'!$AM$8:$AM$2000,$AN148),IF($AO148="지방채",SUMIFS('3. 일출(의존)'!$AJ$8:$AJ$2000,'3. 일출(의존)'!$AS$8:$AS$2000,$AN148)+SUMIFS('3. 일출(자체)'!$AI$8:$AI$2000,'3. 일출(자체)'!$AM$8:$AM$2000,$AN148),0)))</x:f>
        <x:v/>
      </x:c>
      <x:c r="BD148" s="377" t="str">
        <x:f>IF($AN148="","",COUNTIF('3. 일출(의존)'!$AS$8:$AS$2000,$AN148)+COUNTIF('3. 일출(자체)'!$AM$8:$AM$2000,$AN148))</x:f>
        <x:v/>
      </x:c>
      <x:c r="BE148" s="374" t="str">
        <x:f t="shared" si="231"/>
        <x:v/>
      </x:c>
    </x:row>
    <x:row r="149" spans="1:57" s="20" customFormat="1" ht="80.099999999999994" customHeight="1">
      <x:c r="A149" s="155">
        <x:f>IF(D149="","",COUNTA($C$8:C149)-COUNTBLANK($C$8:C149)+9)</x:f>
        <x:v>5</x:v>
      </x:c>
      <x:c r="B149" s="156" t="str">
        <x: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x:f>
        <x:v>도시환경위원회</x:v>
      </x:c>
      <x:c r="C149" s="156" t="str">
        <x:f>IF(D149="","",IF(OR(D149="교육지원과",D149="총무과",D149="인사과"),"직접입력",VLOOKUP(D149,구분표!$A$3:$C$258,3,)))</x:f>
        <x:v>수자원본부</x:v>
      </x:c>
      <x:c r="D149" s="219" t="s">
        <x:v>476</x:v>
      </x:c>
      <x:c r="E149" s="213" t="s">
        <x:v>414</x:v>
      </x:c>
      <x:c r="F149" s="388">
        <x:v>0</x:v>
      </x:c>
      <x:c r="G149" s="388">
        <x:v>0</x:v>
      </x:c>
      <x:c r="H149" s="213" t="s">
        <x:v>814</x:v>
      </x:c>
      <x:c r="I149" s="156" t="str">
        <x:f>IF(H149="","",VLOOKUP($H149,구분표!$O$3:$P$168,2,FALSE))</x:f>
        <x:v>지역균형발전특별회계보조금</x:v>
      </x:c>
      <x:c r="J149" s="215" t="s">
        <x:v>1431</x:v>
      </x:c>
      <x:c r="K149" s="459">
        <x:v>608645</x:v>
      </x:c>
      <x:c r="L149" s="459">
        <x:v>0</x:v>
      </x:c>
      <x:c r="M149" s="461">
        <x:f t="shared" si="213"/>
        <x:v>608645</x:v>
      </x:c>
      <x:c r="N149" s="460">
        <x:v>50250</x:v>
      </x:c>
      <x:c r="O149" s="461">
        <x:f t="shared" si="214"/>
        <x:v>658895</x:v>
      </x:c>
      <x:c r="P149" s="462"/>
      <x:c r="Q149" s="463">
        <x:f t="shared" si="215"/>
        <x:v>608645</x:v>
      </x:c>
      <x:c r="R149" s="162" t="str">
        <x:f t="shared" si="216"/>
        <x:v>X</x:v>
      </x:c>
      <x:c r="S149" s="216"/>
      <x:c r="T149" s="327"/>
      <x:c r="U149" s="217"/>
      <x:c r="V149" s="203"/>
      <x:c r="W149" s="217"/>
      <x:c r="X149" s="217"/>
      <x:c r="Y149" s="162" t="str">
        <x:f t="shared" si="217"/>
        <x:v>국비</x:v>
      </x:c>
      <x:c r="Z149" s="45"/>
      <x:c r="AA149" s="471">
        <x:f t="shared" si="218"/>
        <x:v>50250</x:v>
      </x:c>
      <x:c r="AB149" s="471" t="str">
        <x:f t="shared" si="219"/>
        <x:v/>
      </x:c>
      <x:c r="AC149" s="471" t="str">
        <x:f t="shared" si="220"/>
        <x:v/>
      </x:c>
      <x:c r="AD149" s="471" t="str">
        <x:f t="shared" si="221"/>
        <x:v/>
      </x:c>
      <x:c r="AE149" s="46"/>
      <x:c r="AF149" s="471">
        <x:f t="shared" si="222"/>
        <x:v>0</x:v>
      </x:c>
      <x:c r="AG149" s="471" t="str">
        <x:f t="shared" si="223"/>
        <x:v/>
      </x:c>
      <x:c r="AH149" s="471" t="str">
        <x:f t="shared" si="224"/>
        <x:v/>
      </x:c>
      <x:c r="AI149" s="471" t="str">
        <x:f t="shared" si="225"/>
        <x:v/>
      </x:c>
      <x:c r="AJ149" s="87"/>
      <x:c r="AK149" s="374" t="str">
        <x:f>IF($AQ149="","",IF(OR($AL149="",$AL149="도비"),"",CONCATENATE($AQ149,"-",COUNTIF($AQ$8:$AQ149,$AQ149))))</x:f>
        <x:v>50604-1</x:v>
      </x:c>
      <x:c r="AL149" s="374" t="str">
        <x:f t="shared" si="226"/>
        <x:v>균특</x:v>
      </x:c>
      <x:c r="AM149" s="87"/>
      <x:c r="AN149" s="375" t="str">
        <x:f>IF($AQ149="","",IF(OR($AO149="",$AO149="국비",$AO149="자체"),"",CONCATENATE($AQ149,"-",$AO149,"-",COUNTIF($AQ$8:$AQ149,$AQ149))))</x:f>
        <x:v/>
      </x:c>
      <x:c r="AO149" s="375" t="str">
        <x:f t="shared" si="227"/>
        <x:v>국비</x:v>
      </x:c>
      <x:c r="AP149" s="87"/>
      <x:c r="AQ149" s="374" t="str">
        <x:f t="array" ref="AQ149:AQ149">IF(OR($D149="",$C149="직접입력",$B149="직접입력"),"",INDEX(구분표!$I$2:$I$337,MATCH(1,(구분표!$G$2:$G$337='3. 일입'!$B149)*(구분표!$E$2:$E$337='3. 일입'!$C149)*(구분표!$F$2:$F$337='3. 일입'!$D149),0)))</x:f>
        <x:v>50604</x:v>
      </x:c>
      <x:c r="AR149" s="87"/>
      <x:c r="AS149" s="472">
        <x:f>IF($AK149="","",SUMIFS('3. 일출(의존)'!$AB$7:$AB$1989,'3. 일출(의존)'!$AN$7:$AN$1989,$AK149))</x:f>
        <x:v>13500</x:v>
      </x:c>
      <x:c r="AT149" s="377">
        <x:f>IF($AK149="","",COUNTIF('3. 일출(의존)'!$AN$7:$AN$1989,$AK149))</x:f>
        <x:v>1</x:v>
      </x:c>
      <x:c r="AU149" s="374" t="str">
        <x:f t="shared" si="228"/>
        <x:v>@@</x:v>
      </x:c>
      <x:c r="AV149" s="472" t="str">
        <x:f>IF($AN149="","",IF($AO149="지역개발기금",SUMIFS('3. 일출(의존)'!$AE$8:$AE$2000,'3. 일출(의존)'!$AS$8:$AS$2000,$AN149)+SUMIFS('3. 일출(자체)'!$AE$8:$AE$2000,'3. 일출(자체)'!$AM$8:$AM$2000,$AN149),IF($AO149="지방채",SUMIFS('3. 일출(의존)'!$AD$8:$AD$2000,'3. 일출(의존)'!$AS$8:$AS$2000,$AN149)+SUMIFS('3. 일출(자체)'!$AD$8:$AD$2000,'3. 일출(자체)'!$AM$8:$AM$2000,$AN149),0)))</x:f>
        <x:v/>
      </x:c>
      <x:c r="AW149" s="377" t="str">
        <x:f>IF($AN149="","",COUNTIF('3. 일출(의존)'!$AS$8:$AS$2000,$AN149)+COUNTIF('3. 일출(자체)'!$AM$8:$AM$2000,$AN149))</x:f>
        <x:v/>
      </x:c>
      <x:c r="AX149" s="374" t="str">
        <x:f t="shared" si="229"/>
        <x:v/>
      </x:c>
      <x:c r="AY149" s="91"/>
      <x:c r="AZ149" s="472">
        <x:f>IF($AK149="","",SUMIFS('3. 일출(의존)'!$AH$8:$AH$1989,'3. 일출(의존)'!$AN$8:$AN$1989,$AK149))</x:f>
        <x:v>0</x:v>
      </x:c>
      <x:c r="BA149" s="377">
        <x:f>IF($AK149="","",COUNTIF('3. 일출(의존)'!$AN$7:$AN$1989,$AK149))</x:f>
        <x:v>1</x:v>
      </x:c>
      <x:c r="BB149" s="374" t="str">
        <x:f t="shared" si="230"/>
        <x:v>OK</x:v>
      </x:c>
      <x:c r="BC149" s="472" t="str">
        <x:f>IF($AN149="","",IF($AO149="지역개발기금",SUMIFS('3. 일출(의존)'!$AK$8:$AK$2000,'3. 일출(의존)'!$AS$8:$AS$2000,$AN149)+SUMIFS('3. 일출(자체)'!$AJ$8:$AJ$2000,'3. 일출(자체)'!$AM$8:$AM$2000,$AN149),IF($AO149="지방채",SUMIFS('3. 일출(의존)'!$AJ$8:$AJ$2000,'3. 일출(의존)'!$AS$8:$AS$2000,$AN149)+SUMIFS('3. 일출(자체)'!$AI$8:$AI$2000,'3. 일출(자체)'!$AM$8:$AM$2000,$AN149),0)))</x:f>
        <x:v/>
      </x:c>
      <x:c r="BD149" s="377" t="str">
        <x:f>IF($AN149="","",COUNTIF('3. 일출(의존)'!$AS$8:$AS$2000,$AN149)+COUNTIF('3. 일출(자체)'!$AM$8:$AM$2000,$AN149))</x:f>
        <x:v/>
      </x:c>
      <x:c r="BE149" s="374" t="str">
        <x:f t="shared" si="231"/>
        <x:v/>
      </x:c>
    </x:row>
    <x:row r="150" spans="1:57" s="20" customFormat="1" ht="80.099999999999994" customHeight="1">
      <x:c r="A150" s="155" t="str">
        <x:f>IF(D150="","",COUNTA($C$8:C150)-COUNTBLANK($C$8:C150)+9)</x:f>
        <x:v/>
      </x:c>
      <x:c r="B150" s="156" t="str">
        <x: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x:f>
        <x:v/>
      </x:c>
      <x:c r="C150" s="156" t="str">
        <x:f>IF(D150="","",IF(OR(D150="교육지원과",D150="총무과",D150="인사과"),"직접입력",VLOOKUP(D150,구분표!$A$3:$C$258,3,)))</x:f>
        <x:v/>
      </x:c>
      <x:c r="D150" s="219"/>
      <x:c r="E150" s="213"/>
      <x:c r="F150" s="388" t="str">
        <x:f t="shared" ref="F150:G160" si="232">IF($E150="","",IF($E150="2추","직접입력","-"))</x:f>
        <x:v/>
      </x:c>
      <x:c r="G150" s="388" t="str">
        <x:f t="shared" si="232"/>
        <x:v/>
      </x:c>
      <x:c r="H150" s="213"/>
      <x:c r="I150" s="156" t="str">
        <x:f>IF(H150="","",VLOOKUP($H150,구분표!$O$3:$P$168,2,FALSE))</x:f>
        <x:v/>
      </x:c>
      <x:c r="J150" s="215"/>
      <x:c r="K150" s="459" t="str">
        <x:f t="shared" ref="K150:K160" si="233">IF($E150="","",IF(OR($E150="2추",$E150="1추",$E150="본예산"),"금액입력","-"))</x:f>
        <x:v/>
      </x:c>
      <x:c r="L150" s="459" t="str">
        <x:f t="shared" ref="L150:L160" si="234">IF($E150="","",IF($E150="2추","금액입력","-"))</x:f>
        <x:v/>
      </x:c>
      <x:c r="M150" s="461" t="str">
        <x:f t="shared" si="213"/>
        <x:v/>
      </x:c>
      <x:c r="N150" s="460"/>
      <x:c r="O150" s="461">
        <x:f t="shared" si="214"/>
        <x:v>0</x:v>
      </x:c>
      <x:c r="P150" s="462"/>
      <x:c r="Q150" s="463">
        <x:f t="shared" si="215"/>
        <x:v>0</x:v>
      </x:c>
      <x:c r="R150" s="162" t="str">
        <x:f t="shared" si="216"/>
        <x:v>X</x:v>
      </x:c>
      <x:c r="S150" s="216"/>
      <x:c r="T150" s="327"/>
      <x:c r="U150" s="217"/>
      <x:c r="V150" s="203"/>
      <x:c r="W150" s="217"/>
      <x:c r="X150" s="217"/>
      <x:c r="Y150" s="162" t="str">
        <x:f t="shared" si="217"/>
        <x:v/>
      </x:c>
      <x:c r="Z150" s="45"/>
      <x:c r="AA150" s="471" t="str">
        <x:f t="shared" si="218"/>
        <x:v/>
      </x:c>
      <x:c r="AB150" s="471" t="str">
        <x:f t="shared" si="219"/>
        <x:v/>
      </x:c>
      <x:c r="AC150" s="471" t="str">
        <x:f t="shared" si="220"/>
        <x:v/>
      </x:c>
      <x:c r="AD150" s="471" t="str">
        <x:f t="shared" si="221"/>
        <x:v/>
      </x:c>
      <x:c r="AE150" s="46"/>
      <x:c r="AF150" s="471" t="str">
        <x:f t="shared" si="222"/>
        <x:v/>
      </x:c>
      <x:c r="AG150" s="471" t="str">
        <x:f t="shared" si="223"/>
        <x:v/>
      </x:c>
      <x:c r="AH150" s="471" t="str">
        <x:f t="shared" si="224"/>
        <x:v/>
      </x:c>
      <x:c r="AI150" s="471" t="str">
        <x:f t="shared" si="225"/>
        <x:v/>
      </x:c>
      <x:c r="AJ150" s="87"/>
      <x:c r="AK150" s="374" t="str">
        <x:f>IF($AQ150="","",IF(OR($AL150="",$AL150="도비"),"",CONCATENATE($AQ150,"-",COUNTIF($AQ$8:$AQ150,$AQ150))))</x:f>
        <x:v/>
      </x:c>
      <x:c r="AL150" s="374" t="str">
        <x:f t="shared" si="226"/>
        <x:v/>
      </x:c>
      <x:c r="AM150" s="87"/>
      <x:c r="AN150" s="375" t="str">
        <x:f>IF($AQ150="","",IF(OR($AO150="",$AO150="국비",$AO150="자체"),"",CONCATENATE($AQ150,"-",$AO150,"-",COUNTIF($AQ$8:$AQ150,$AQ150))))</x:f>
        <x:v/>
      </x:c>
      <x:c r="AO150" s="375" t="str">
        <x:f t="shared" si="227"/>
        <x:v/>
      </x:c>
      <x:c r="AP150" s="87"/>
      <x:c r="AQ150" s="374" t="str">
        <x:f t="array" ref="AQ150:AQ150">IF(OR($D150="",$C150="직접입력",$B150="직접입력"),"",INDEX(구분표!$I$2:$I$337,MATCH(1,(구분표!$G$2:$G$337='3. 일입'!$B150)*(구분표!$E$2:$E$337='3. 일입'!$C150)*(구분표!$F$2:$F$337='3. 일입'!$D150),0)))</x:f>
        <x:v/>
      </x:c>
      <x:c r="AR150" s="87"/>
      <x:c r="AS150" s="472" t="str">
        <x:f>IF($AK150="","",SUMIFS('3. 일출(의존)'!$AB$7:$AB$1989,'3. 일출(의존)'!$AN$7:$AN$1989,$AK150))</x:f>
        <x:v/>
      </x:c>
      <x:c r="AT150" s="377" t="str">
        <x:f>IF($AK150="","",COUNTIF('3. 일출(의존)'!$AN$7:$AN$1989,$AK150))</x:f>
        <x:v/>
      </x:c>
      <x:c r="AU150" s="374" t="str">
        <x:f t="shared" si="228"/>
        <x:v/>
      </x:c>
      <x:c r="AV150" s="472" t="str">
        <x:f>IF($AN150="","",IF($AO150="지역개발기금",SUMIFS('3. 일출(의존)'!$AE$8:$AE$2000,'3. 일출(의존)'!$AS$8:$AS$2000,$AN150)+SUMIFS('3. 일출(자체)'!$AE$8:$AE$2000,'3. 일출(자체)'!$AM$8:$AM$2000,$AN150),IF($AO150="지방채",SUMIFS('3. 일출(의존)'!$AD$8:$AD$2000,'3. 일출(의존)'!$AS$8:$AS$2000,$AN150)+SUMIFS('3. 일출(자체)'!$AD$8:$AD$2000,'3. 일출(자체)'!$AM$8:$AM$2000,$AN150),0)))</x:f>
        <x:v/>
      </x:c>
      <x:c r="AW150" s="377" t="str">
        <x:f>IF($AN150="","",COUNTIF('3. 일출(의존)'!$AS$8:$AS$2000,$AN150)+COUNTIF('3. 일출(자체)'!$AM$8:$AM$2000,$AN150))</x:f>
        <x:v/>
      </x:c>
      <x:c r="AX150" s="374" t="str">
        <x:f t="shared" si="229"/>
        <x:v/>
      </x:c>
      <x:c r="AY150" s="91"/>
      <x:c r="AZ150" s="472" t="str">
        <x:f>IF($AK150="","",SUMIFS('3. 일출(의존)'!$AH$8:$AH$1989,'3. 일출(의존)'!$AN$8:$AN$1989,$AK150))</x:f>
        <x:v/>
      </x:c>
      <x:c r="BA150" s="377" t="str">
        <x:f>IF($AK150="","",COUNTIF('3. 일출(의존)'!$AN$7:$AN$1989,$AK150))</x:f>
        <x:v/>
      </x:c>
      <x:c r="BB150" s="374" t="str">
        <x:f t="shared" si="230"/>
        <x:v/>
      </x:c>
      <x:c r="BC150" s="472" t="str">
        <x:f>IF($AN150="","",IF($AO150="지역개발기금",SUMIFS('3. 일출(의존)'!$AK$8:$AK$2000,'3. 일출(의존)'!$AS$8:$AS$2000,$AN150)+SUMIFS('3. 일출(자체)'!$AJ$8:$AJ$2000,'3. 일출(자체)'!$AM$8:$AM$2000,$AN150),IF($AO150="지방채",SUMIFS('3. 일출(의존)'!$AJ$8:$AJ$2000,'3. 일출(의존)'!$AS$8:$AS$2000,$AN150)+SUMIFS('3. 일출(자체)'!$AI$8:$AI$2000,'3. 일출(자체)'!$AM$8:$AM$2000,$AN150),0)))</x:f>
        <x:v/>
      </x:c>
      <x:c r="BD150" s="377" t="str">
        <x:f>IF($AN150="","",COUNTIF('3. 일출(의존)'!$AS$8:$AS$2000,$AN150)+COUNTIF('3. 일출(자체)'!$AM$8:$AM$2000,$AN150))</x:f>
        <x:v/>
      </x:c>
      <x:c r="BE150" s="374" t="str">
        <x:f t="shared" si="231"/>
        <x:v/>
      </x:c>
    </x:row>
    <x:row r="151" spans="1:57" s="20" customFormat="1" ht="80.099999999999994" customHeight="1">
      <x:c r="A151" s="155" t="str">
        <x:f>IF(D151="","",COUNTA($C$8:C151)-COUNTBLANK($C$8:C151)+9)</x:f>
        <x:v/>
      </x:c>
      <x:c r="B151" s="156" t="str">
        <x:f>IF(D151="","",IF(OR(C151="직접입력",D151="북부지원"),"직접입력",IF(OR(AND(D151="인사과",C151="의회사무처"),AND(D151="총무과",C151="의회사무처")),"의회운영위원회",IF(OR(C151="직접입력",D151="북부지원"),"직접입력",IF(OR(AND(D151="인사과",C151="자치행정국"),AND(D151="총무과",C151="자치행정국")),"안전행정위원회",VLOOKUP(D151,구분표!$A$3:$C$258,2,))))))</x:f>
        <x:v/>
      </x:c>
      <x:c r="C151" s="156" t="str">
        <x:f>IF(D151="","",IF(OR(D151="교육지원과",D151="총무과",D151="인사과"),"직접입력",VLOOKUP(D151,구분표!$A$3:$C$258,3,)))</x:f>
        <x:v/>
      </x:c>
      <x:c r="D151" s="219"/>
      <x:c r="E151" s="213"/>
      <x:c r="F151" s="388" t="str">
        <x:f t="shared" si="232"/>
        <x:v/>
      </x:c>
      <x:c r="G151" s="388" t="str">
        <x:f t="shared" si="232"/>
        <x:v/>
      </x:c>
      <x:c r="H151" s="213"/>
      <x:c r="I151" s="156" t="str">
        <x:f>IF(H151="","",VLOOKUP($H151,구분표!$O$3:$P$168,2,FALSE))</x:f>
        <x:v/>
      </x:c>
      <x:c r="J151" s="215"/>
      <x:c r="K151" s="459" t="str">
        <x:f t="shared" si="233"/>
        <x:v/>
      </x:c>
      <x:c r="L151" s="459" t="str">
        <x:f t="shared" si="234"/>
        <x:v/>
      </x:c>
      <x:c r="M151" s="461" t="str">
        <x:f t="shared" si="213"/>
        <x:v/>
      </x:c>
      <x:c r="N151" s="460"/>
      <x:c r="O151" s="461">
        <x:f t="shared" si="214"/>
        <x:v>0</x:v>
      </x:c>
      <x:c r="P151" s="462"/>
      <x:c r="Q151" s="463">
        <x:f t="shared" si="215"/>
        <x:v>0</x:v>
      </x:c>
      <x:c r="R151" s="162" t="str">
        <x:f t="shared" si="216"/>
        <x:v>X</x:v>
      </x:c>
      <x:c r="S151" s="216"/>
      <x:c r="T151" s="327"/>
      <x:c r="U151" s="217"/>
      <x:c r="V151" s="203"/>
      <x:c r="W151" s="217"/>
      <x:c r="X151" s="217"/>
      <x:c r="Y151" s="162" t="str">
        <x:f t="shared" si="217"/>
        <x:v/>
      </x:c>
      <x:c r="Z151" s="45"/>
      <x:c r="AA151" s="471" t="str">
        <x:f t="shared" si="218"/>
        <x:v/>
      </x:c>
      <x:c r="AB151" s="471" t="str">
        <x:f t="shared" si="219"/>
        <x:v/>
      </x:c>
      <x:c r="AC151" s="471" t="str">
        <x:f t="shared" si="220"/>
        <x:v/>
      </x:c>
      <x:c r="AD151" s="471" t="str">
        <x:f t="shared" si="221"/>
        <x:v/>
      </x:c>
      <x:c r="AE151" s="46"/>
      <x:c r="AF151" s="471" t="str">
        <x:f t="shared" si="222"/>
        <x:v/>
      </x:c>
      <x:c r="AG151" s="471" t="str">
        <x:f t="shared" si="223"/>
        <x:v/>
      </x:c>
      <x:c r="AH151" s="471" t="str">
        <x:f t="shared" si="224"/>
        <x:v/>
      </x:c>
      <x:c r="AI151" s="471" t="str">
        <x:f t="shared" si="225"/>
        <x:v/>
      </x:c>
      <x:c r="AJ151" s="87"/>
      <x:c r="AK151" s="374" t="str">
        <x:f>IF($AQ151="","",IF(OR($AL151="",$AL151="도비"),"",CONCATENATE($AQ151,"-",COUNTIF($AQ$8:$AQ151,$AQ151))))</x:f>
        <x:v/>
      </x:c>
      <x:c r="AL151" s="374" t="str">
        <x:f t="shared" si="226"/>
        <x:v/>
      </x:c>
      <x:c r="AM151" s="87"/>
      <x:c r="AN151" s="375" t="str">
        <x:f>IF($AQ151="","",IF(OR($AO151="",$AO151="국비",$AO151="자체"),"",CONCATENATE($AQ151,"-",$AO151,"-",COUNTIF($AQ$8:$AQ151,$AQ151))))</x:f>
        <x:v/>
      </x:c>
      <x:c r="AO151" s="375" t="str">
        <x:f t="shared" si="227"/>
        <x:v/>
      </x:c>
      <x:c r="AP151" s="87"/>
      <x:c r="AQ151" s="374" t="str">
        <x:f t="array" ref="AQ151:AQ151">IF(OR($D151="",$C151="직접입력",$B151="직접입력"),"",INDEX(구분표!$I$2:$I$337,MATCH(1,(구분표!$G$2:$G$337='3. 일입'!$B151)*(구분표!$E$2:$E$337='3. 일입'!$C151)*(구분표!$F$2:$F$337='3. 일입'!$D151),0)))</x:f>
        <x:v/>
      </x:c>
      <x:c r="AR151" s="87"/>
      <x:c r="AS151" s="472" t="str">
        <x:f>IF($AK151="","",SUMIFS('3. 일출(의존)'!$AB$7:$AB$1989,'3. 일출(의존)'!$AN$7:$AN$1989,$AK151))</x:f>
        <x:v/>
      </x:c>
      <x:c r="AT151" s="377" t="str">
        <x:f>IF($AK151="","",COUNTIF('3. 일출(의존)'!$AN$7:$AN$1989,$AK151))</x:f>
        <x:v/>
      </x:c>
      <x:c r="AU151" s="374" t="str">
        <x:f t="shared" si="228"/>
        <x:v/>
      </x:c>
      <x:c r="AV151" s="472" t="str">
        <x:f>IF($AN151="","",IF($AO151="지역개발기금",SUMIFS('3. 일출(의존)'!$AE$8:$AE$2000,'3. 일출(의존)'!$AS$8:$AS$2000,$AN151)+SUMIFS('3. 일출(자체)'!$AE$8:$AE$2000,'3. 일출(자체)'!$AM$8:$AM$2000,$AN151),IF($AO151="지방채",SUMIFS('3. 일출(의존)'!$AD$8:$AD$2000,'3. 일출(의존)'!$AS$8:$AS$2000,$AN151)+SUMIFS('3. 일출(자체)'!$AD$8:$AD$2000,'3. 일출(자체)'!$AM$8:$AM$2000,$AN151),0)))</x:f>
        <x:v/>
      </x:c>
      <x:c r="AW151" s="377" t="str">
        <x:f>IF($AN151="","",COUNTIF('3. 일출(의존)'!$AS$8:$AS$2000,$AN151)+COUNTIF('3. 일출(자체)'!$AM$8:$AM$2000,$AN151))</x:f>
        <x:v/>
      </x:c>
      <x:c r="AX151" s="374" t="str">
        <x:f t="shared" si="229"/>
        <x:v/>
      </x:c>
      <x:c r="AY151" s="91"/>
      <x:c r="AZ151" s="472" t="str">
        <x:f>IF($AK151="","",SUMIFS('3. 일출(의존)'!$AH$8:$AH$1989,'3. 일출(의존)'!$AN$8:$AN$1989,$AK151))</x:f>
        <x:v/>
      </x:c>
      <x:c r="BA151" s="377" t="str">
        <x:f>IF($AK151="","",COUNTIF('3. 일출(의존)'!$AN$7:$AN$1989,$AK151))</x:f>
        <x:v/>
      </x:c>
      <x:c r="BB151" s="374" t="str">
        <x:f t="shared" si="230"/>
        <x:v/>
      </x:c>
      <x:c r="BC151" s="472" t="str">
        <x:f>IF($AN151="","",IF($AO151="지역개발기금",SUMIFS('3. 일출(의존)'!$AK$8:$AK$2000,'3. 일출(의존)'!$AS$8:$AS$2000,$AN151)+SUMIFS('3. 일출(자체)'!$AJ$8:$AJ$2000,'3. 일출(자체)'!$AM$8:$AM$2000,$AN151),IF($AO151="지방채",SUMIFS('3. 일출(의존)'!$AJ$8:$AJ$2000,'3. 일출(의존)'!$AS$8:$AS$2000,$AN151)+SUMIFS('3. 일출(자체)'!$AI$8:$AI$2000,'3. 일출(자체)'!$AM$8:$AM$2000,$AN151),0)))</x:f>
        <x:v/>
      </x:c>
      <x:c r="BD151" s="377" t="str">
        <x:f>IF($AN151="","",COUNTIF('3. 일출(의존)'!$AS$8:$AS$2000,$AN151)+COUNTIF('3. 일출(자체)'!$AM$8:$AM$2000,$AN151))</x:f>
        <x:v/>
      </x:c>
      <x:c r="BE151" s="374" t="str">
        <x:f t="shared" si="231"/>
        <x:v/>
      </x:c>
    </x:row>
    <x:row r="152" spans="1:57" s="20" customFormat="1" ht="80.099999999999994" customHeight="1">
      <x:c r="A152" s="155" t="str">
        <x:f>IF(D152="","",COUNTA($C$8:C152)-COUNTBLANK($C$8:C152)+9)</x:f>
        <x:v/>
      </x:c>
      <x:c r="B152" s="156" t="str">
        <x: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x:f>
        <x:v/>
      </x:c>
      <x:c r="C152" s="156" t="str">
        <x:f>IF(D152="","",IF(OR(D152="교육지원과",D152="총무과",D152="인사과"),"직접입력",VLOOKUP(D152,구분표!$A$3:$C$258,3,)))</x:f>
        <x:v/>
      </x:c>
      <x:c r="D152" s="219"/>
      <x:c r="E152" s="213"/>
      <x:c r="F152" s="388" t="str">
        <x:f t="shared" si="232"/>
        <x:v/>
      </x:c>
      <x:c r="G152" s="388" t="str">
        <x:f t="shared" si="232"/>
        <x:v/>
      </x:c>
      <x:c r="H152" s="213"/>
      <x:c r="I152" s="156" t="str">
        <x:f>IF(H152="","",VLOOKUP($H152,구분표!$O$3:$P$168,2,FALSE))</x:f>
        <x:v/>
      </x:c>
      <x:c r="J152" s="215"/>
      <x:c r="K152" s="459" t="str">
        <x:f t="shared" si="233"/>
        <x:v/>
      </x:c>
      <x:c r="L152" s="459" t="str">
        <x:f t="shared" si="234"/>
        <x:v/>
      </x:c>
      <x:c r="M152" s="461" t="str">
        <x:f t="shared" si="213"/>
        <x:v/>
      </x:c>
      <x:c r="N152" s="460"/>
      <x:c r="O152" s="461">
        <x:f t="shared" si="214"/>
        <x:v>0</x:v>
      </x:c>
      <x:c r="P152" s="462"/>
      <x:c r="Q152" s="463">
        <x:f t="shared" si="215"/>
        <x:v>0</x:v>
      </x:c>
      <x:c r="R152" s="162" t="str">
        <x:f t="shared" si="216"/>
        <x:v>X</x:v>
      </x:c>
      <x:c r="S152" s="216"/>
      <x:c r="T152" s="327"/>
      <x:c r="U152" s="217"/>
      <x:c r="V152" s="203"/>
      <x:c r="W152" s="217"/>
      <x:c r="X152" s="217"/>
      <x:c r="Y152" s="162" t="str">
        <x:f t="shared" si="217"/>
        <x:v/>
      </x:c>
      <x:c r="Z152" s="45"/>
      <x:c r="AA152" s="471" t="str">
        <x:f t="shared" si="218"/>
        <x:v/>
      </x:c>
      <x:c r="AB152" s="471" t="str">
        <x:f t="shared" si="219"/>
        <x:v/>
      </x:c>
      <x:c r="AC152" s="471" t="str">
        <x:f t="shared" si="220"/>
        <x:v/>
      </x:c>
      <x:c r="AD152" s="471" t="str">
        <x:f t="shared" si="221"/>
        <x:v/>
      </x:c>
      <x:c r="AE152" s="46"/>
      <x:c r="AF152" s="471" t="str">
        <x:f t="shared" si="222"/>
        <x:v/>
      </x:c>
      <x:c r="AG152" s="471" t="str">
        <x:f t="shared" si="223"/>
        <x:v/>
      </x:c>
      <x:c r="AH152" s="471" t="str">
        <x:f t="shared" si="224"/>
        <x:v/>
      </x:c>
      <x:c r="AI152" s="471" t="str">
        <x:f t="shared" si="225"/>
        <x:v/>
      </x:c>
      <x:c r="AJ152" s="87"/>
      <x:c r="AK152" s="374" t="str">
        <x:f>IF($AQ152="","",IF(OR($AL152="",$AL152="도비"),"",CONCATENATE($AQ152,"-",COUNTIF($AQ$8:$AQ152,$AQ152))))</x:f>
        <x:v/>
      </x:c>
      <x:c r="AL152" s="374" t="str">
        <x:f t="shared" si="226"/>
        <x:v/>
      </x:c>
      <x:c r="AM152" s="87"/>
      <x:c r="AN152" s="375" t="str">
        <x:f>IF($AQ152="","",IF(OR($AO152="",$AO152="국비",$AO152="자체"),"",CONCATENATE($AQ152,"-",$AO152,"-",COUNTIF($AQ$8:$AQ152,$AQ152))))</x:f>
        <x:v/>
      </x:c>
      <x:c r="AO152" s="375" t="str">
        <x:f t="shared" si="227"/>
        <x:v/>
      </x:c>
      <x:c r="AP152" s="87"/>
      <x:c r="AQ152" s="374" t="str">
        <x:f t="array" ref="AQ152:AQ152">IF(OR($D152="",$C152="직접입력",$B152="직접입력"),"",INDEX(구분표!$I$2:$I$337,MATCH(1,(구분표!$G$2:$G$337='3. 일입'!$B152)*(구분표!$E$2:$E$337='3. 일입'!$C152)*(구분표!$F$2:$F$337='3. 일입'!$D152),0)))</x:f>
        <x:v/>
      </x:c>
      <x:c r="AR152" s="87"/>
      <x:c r="AS152" s="472" t="str">
        <x:f>IF($AK152="","",SUMIFS('3. 일출(의존)'!$AB$7:$AB$1989,'3. 일출(의존)'!$AN$7:$AN$1989,$AK152))</x:f>
        <x:v/>
      </x:c>
      <x:c r="AT152" s="377" t="str">
        <x:f>IF($AK152="","",COUNTIF('3. 일출(의존)'!$AN$7:$AN$1989,$AK152))</x:f>
        <x:v/>
      </x:c>
      <x:c r="AU152" s="374" t="str">
        <x:f t="shared" si="228"/>
        <x:v/>
      </x:c>
      <x:c r="AV152" s="472" t="str">
        <x:f>IF($AN152="","",IF($AO152="지역개발기금",SUMIFS('3. 일출(의존)'!$AE$8:$AE$2000,'3. 일출(의존)'!$AS$8:$AS$2000,$AN152)+SUMIFS('3. 일출(자체)'!$AE$8:$AE$2000,'3. 일출(자체)'!$AM$8:$AM$2000,$AN152),IF($AO152="지방채",SUMIFS('3. 일출(의존)'!$AD$8:$AD$2000,'3. 일출(의존)'!$AS$8:$AS$2000,$AN152)+SUMIFS('3. 일출(자체)'!$AD$8:$AD$2000,'3. 일출(자체)'!$AM$8:$AM$2000,$AN152),0)))</x:f>
        <x:v/>
      </x:c>
      <x:c r="AW152" s="377" t="str">
        <x:f>IF($AN152="","",COUNTIF('3. 일출(의존)'!$AS$8:$AS$2000,$AN152)+COUNTIF('3. 일출(자체)'!$AM$8:$AM$2000,$AN152))</x:f>
        <x:v/>
      </x:c>
      <x:c r="AX152" s="374" t="str">
        <x:f t="shared" si="229"/>
        <x:v/>
      </x:c>
      <x:c r="AY152" s="91"/>
      <x:c r="AZ152" s="472" t="str">
        <x:f>IF($AK152="","",SUMIFS('3. 일출(의존)'!$AH$8:$AH$1989,'3. 일출(의존)'!$AN$8:$AN$1989,$AK152))</x:f>
        <x:v/>
      </x:c>
      <x:c r="BA152" s="377" t="str">
        <x:f>IF($AK152="","",COUNTIF('3. 일출(의존)'!$AN$7:$AN$1989,$AK152))</x:f>
        <x:v/>
      </x:c>
      <x:c r="BB152" s="374" t="str">
        <x:f t="shared" si="230"/>
        <x:v/>
      </x:c>
      <x:c r="BC152" s="472" t="str">
        <x:f>IF($AN152="","",IF($AO152="지역개발기금",SUMIFS('3. 일출(의존)'!$AK$8:$AK$2000,'3. 일출(의존)'!$AS$8:$AS$2000,$AN152)+SUMIFS('3. 일출(자체)'!$AJ$8:$AJ$2000,'3. 일출(자체)'!$AM$8:$AM$2000,$AN152),IF($AO152="지방채",SUMIFS('3. 일출(의존)'!$AJ$8:$AJ$2000,'3. 일출(의존)'!$AS$8:$AS$2000,$AN152)+SUMIFS('3. 일출(자체)'!$AI$8:$AI$2000,'3. 일출(자체)'!$AM$8:$AM$2000,$AN152),0)))</x:f>
        <x:v/>
      </x:c>
      <x:c r="BD152" s="377" t="str">
        <x:f>IF($AN152="","",COUNTIF('3. 일출(의존)'!$AS$8:$AS$2000,$AN152)+COUNTIF('3. 일출(자체)'!$AM$8:$AM$2000,$AN152))</x:f>
        <x:v/>
      </x:c>
      <x:c r="BE152" s="374" t="str">
        <x:f t="shared" si="231"/>
        <x:v/>
      </x:c>
    </x:row>
    <x:row r="153" spans="1:57" s="20" customFormat="1" ht="80.099999999999994" customHeight="1">
      <x:c r="A153" s="155" t="str">
        <x:f>IF(D153="","",COUNTA($C$8:C153)-COUNTBLANK($C$8:C153)+9)</x:f>
        <x:v/>
      </x:c>
      <x:c r="B153" s="156" t="str">
        <x: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x:f>
        <x:v/>
      </x:c>
      <x:c r="C153" s="156" t="str">
        <x:f>IF(D153="","",IF(OR(D153="교육지원과",D153="총무과",D153="인사과"),"직접입력",VLOOKUP(D153,구분표!$A$3:$C$258,3,)))</x:f>
        <x:v/>
      </x:c>
      <x:c r="D153" s="219"/>
      <x:c r="E153" s="213"/>
      <x:c r="F153" s="388" t="str">
        <x:f t="shared" si="232"/>
        <x:v/>
      </x:c>
      <x:c r="G153" s="388" t="str">
        <x:f t="shared" si="232"/>
        <x:v/>
      </x:c>
      <x:c r="H153" s="213"/>
      <x:c r="I153" s="156" t="str">
        <x:f>IF(H153="","",VLOOKUP($H153,구분표!$O$3:$P$168,2,FALSE))</x:f>
        <x:v/>
      </x:c>
      <x:c r="J153" s="215"/>
      <x:c r="K153" s="459" t="str">
        <x:f t="shared" si="233"/>
        <x:v/>
      </x:c>
      <x:c r="L153" s="459" t="str">
        <x:f t="shared" si="234"/>
        <x:v/>
      </x:c>
      <x:c r="M153" s="461" t="str">
        <x:f t="shared" si="213"/>
        <x:v/>
      </x:c>
      <x:c r="N153" s="460"/>
      <x:c r="O153" s="461">
        <x:f t="shared" si="214"/>
        <x:v>0</x:v>
      </x:c>
      <x:c r="P153" s="462"/>
      <x:c r="Q153" s="463">
        <x:f t="shared" si="215"/>
        <x:v>0</x:v>
      </x:c>
      <x:c r="R153" s="162" t="str">
        <x:f t="shared" si="216"/>
        <x:v>X</x:v>
      </x:c>
      <x:c r="S153" s="216"/>
      <x:c r="T153" s="327"/>
      <x:c r="U153" s="217"/>
      <x:c r="V153" s="203"/>
      <x:c r="W153" s="217"/>
      <x:c r="X153" s="217"/>
      <x:c r="Y153" s="162" t="str">
        <x:f t="shared" si="217"/>
        <x:v/>
      </x:c>
      <x:c r="Z153" s="45"/>
      <x:c r="AA153" s="471" t="str">
        <x:f t="shared" si="218"/>
        <x:v/>
      </x:c>
      <x:c r="AB153" s="471" t="str">
        <x:f t="shared" si="219"/>
        <x:v/>
      </x:c>
      <x:c r="AC153" s="471" t="str">
        <x:f t="shared" si="220"/>
        <x:v/>
      </x:c>
      <x:c r="AD153" s="471" t="str">
        <x:f t="shared" si="221"/>
        <x:v/>
      </x:c>
      <x:c r="AE153" s="46"/>
      <x:c r="AF153" s="471" t="str">
        <x:f t="shared" si="222"/>
        <x:v/>
      </x:c>
      <x:c r="AG153" s="471" t="str">
        <x:f t="shared" si="223"/>
        <x:v/>
      </x:c>
      <x:c r="AH153" s="471" t="str">
        <x:f t="shared" si="224"/>
        <x:v/>
      </x:c>
      <x:c r="AI153" s="471" t="str">
        <x:f t="shared" si="225"/>
        <x:v/>
      </x:c>
      <x:c r="AJ153" s="87"/>
      <x:c r="AK153" s="374" t="str">
        <x:f>IF($AQ153="","",IF(OR($AL153="",$AL153="도비"),"",CONCATENATE($AQ153,"-",COUNTIF($AQ$8:$AQ153,$AQ153))))</x:f>
        <x:v/>
      </x:c>
      <x:c r="AL153" s="374" t="str">
        <x:f t="shared" si="226"/>
        <x:v/>
      </x:c>
      <x:c r="AM153" s="87"/>
      <x:c r="AN153" s="375" t="str">
        <x:f>IF($AQ153="","",IF(OR($AO153="",$AO153="국비",$AO153="자체"),"",CONCATENATE($AQ153,"-",$AO153,"-",COUNTIF($AQ$8:$AQ153,$AQ153))))</x:f>
        <x:v/>
      </x:c>
      <x:c r="AO153" s="375" t="str">
        <x:f t="shared" si="227"/>
        <x:v/>
      </x:c>
      <x:c r="AP153" s="87"/>
      <x:c r="AQ153" s="374" t="str">
        <x:f t="array" ref="AQ153:AQ153">IF(OR($D153="",$C153="직접입력",$B153="직접입력"),"",INDEX(구분표!$I$2:$I$337,MATCH(1,(구분표!$G$2:$G$337='3. 일입'!$B153)*(구분표!$E$2:$E$337='3. 일입'!$C153)*(구분표!$F$2:$F$337='3. 일입'!$D153),0)))</x:f>
        <x:v/>
      </x:c>
      <x:c r="AR153" s="87"/>
      <x:c r="AS153" s="472" t="str">
        <x:f>IF($AK153="","",SUMIFS('3. 일출(의존)'!$AB$7:$AB$1989,'3. 일출(의존)'!$AN$7:$AN$1989,$AK153))</x:f>
        <x:v/>
      </x:c>
      <x:c r="AT153" s="377" t="str">
        <x:f>IF($AK153="","",COUNTIF('3. 일출(의존)'!$AN$7:$AN$1989,$AK153))</x:f>
        <x:v/>
      </x:c>
      <x:c r="AU153" s="374" t="str">
        <x:f t="shared" si="228"/>
        <x:v/>
      </x:c>
      <x:c r="AV153" s="472" t="str">
        <x:f>IF($AN153="","",IF($AO153="지역개발기금",SUMIFS('3. 일출(의존)'!$AE$8:$AE$2000,'3. 일출(의존)'!$AS$8:$AS$2000,$AN153)+SUMIFS('3. 일출(자체)'!$AE$8:$AE$2000,'3. 일출(자체)'!$AM$8:$AM$2000,$AN153),IF($AO153="지방채",SUMIFS('3. 일출(의존)'!$AD$8:$AD$2000,'3. 일출(의존)'!$AS$8:$AS$2000,$AN153)+SUMIFS('3. 일출(자체)'!$AD$8:$AD$2000,'3. 일출(자체)'!$AM$8:$AM$2000,$AN153),0)))</x:f>
        <x:v/>
      </x:c>
      <x:c r="AW153" s="377" t="str">
        <x:f>IF($AN153="","",COUNTIF('3. 일출(의존)'!$AS$8:$AS$2000,$AN153)+COUNTIF('3. 일출(자체)'!$AM$8:$AM$2000,$AN153))</x:f>
        <x:v/>
      </x:c>
      <x:c r="AX153" s="374" t="str">
        <x:f t="shared" si="229"/>
        <x:v/>
      </x:c>
      <x:c r="AY153" s="91"/>
      <x:c r="AZ153" s="472" t="str">
        <x:f>IF($AK153="","",SUMIFS('3. 일출(의존)'!$AH$8:$AH$1989,'3. 일출(의존)'!$AN$8:$AN$1989,$AK153))</x:f>
        <x:v/>
      </x:c>
      <x:c r="BA153" s="377" t="str">
        <x:f>IF($AK153="","",COUNTIF('3. 일출(의존)'!$AN$7:$AN$1989,$AK153))</x:f>
        <x:v/>
      </x:c>
      <x:c r="BB153" s="374" t="str">
        <x:f t="shared" si="230"/>
        <x:v/>
      </x:c>
      <x:c r="BC153" s="472" t="str">
        <x:f>IF($AN153="","",IF($AO153="지역개발기금",SUMIFS('3. 일출(의존)'!$AK$8:$AK$2000,'3. 일출(의존)'!$AS$8:$AS$2000,$AN153)+SUMIFS('3. 일출(자체)'!$AJ$8:$AJ$2000,'3. 일출(자체)'!$AM$8:$AM$2000,$AN153),IF($AO153="지방채",SUMIFS('3. 일출(의존)'!$AJ$8:$AJ$2000,'3. 일출(의존)'!$AS$8:$AS$2000,$AN153)+SUMIFS('3. 일출(자체)'!$AI$8:$AI$2000,'3. 일출(자체)'!$AM$8:$AM$2000,$AN153),0)))</x:f>
        <x:v/>
      </x:c>
      <x:c r="BD153" s="377" t="str">
        <x:f>IF($AN153="","",COUNTIF('3. 일출(의존)'!$AS$8:$AS$2000,$AN153)+COUNTIF('3. 일출(자체)'!$AM$8:$AM$2000,$AN153))</x:f>
        <x:v/>
      </x:c>
      <x:c r="BE153" s="374" t="str">
        <x:f t="shared" si="231"/>
        <x:v/>
      </x:c>
    </x:row>
    <x:row r="154" spans="1:57" s="20" customFormat="1" ht="80.099999999999994" customHeight="1">
      <x:c r="A154" s="155" t="str">
        <x:f>IF(D154="","",COUNTA($C$8:C154)-COUNTBLANK($C$8:C154)+9)</x:f>
        <x:v/>
      </x:c>
      <x:c r="B154" s="156" t="str">
        <x: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x:f>
        <x:v/>
      </x:c>
      <x:c r="C154" s="156" t="str">
        <x:f>IF(D154="","",IF(OR(D154="교육지원과",D154="총무과",D154="인사과"),"직접입력",VLOOKUP(D154,구분표!$A$3:$C$258,3,)))</x:f>
        <x:v/>
      </x:c>
      <x:c r="D154" s="219"/>
      <x:c r="E154" s="213"/>
      <x:c r="F154" s="388" t="str">
        <x:f t="shared" si="232"/>
        <x:v/>
      </x:c>
      <x:c r="G154" s="388" t="str">
        <x:f t="shared" si="232"/>
        <x:v/>
      </x:c>
      <x:c r="H154" s="213"/>
      <x:c r="I154" s="156" t="str">
        <x:f>IF(H154="","",VLOOKUP($H154,구분표!$O$3:$P$168,2,FALSE))</x:f>
        <x:v/>
      </x:c>
      <x:c r="J154" s="215"/>
      <x:c r="K154" s="459" t="str">
        <x:f t="shared" si="233"/>
        <x:v/>
      </x:c>
      <x:c r="L154" s="459" t="str">
        <x:f t="shared" si="234"/>
        <x:v/>
      </x:c>
      <x:c r="M154" s="461" t="str">
        <x:f t="shared" si="213"/>
        <x:v/>
      </x:c>
      <x:c r="N154" s="460"/>
      <x:c r="O154" s="461">
        <x:f t="shared" si="214"/>
        <x:v>0</x:v>
      </x:c>
      <x:c r="P154" s="462"/>
      <x:c r="Q154" s="463">
        <x:f t="shared" si="215"/>
        <x:v>0</x:v>
      </x:c>
      <x:c r="R154" s="162" t="str">
        <x:f t="shared" si="216"/>
        <x:v>X</x:v>
      </x:c>
      <x:c r="S154" s="216"/>
      <x:c r="T154" s="327"/>
      <x:c r="U154" s="217"/>
      <x:c r="V154" s="203"/>
      <x:c r="W154" s="217"/>
      <x:c r="X154" s="217"/>
      <x:c r="Y154" s="162" t="str">
        <x:f t="shared" si="217"/>
        <x:v/>
      </x:c>
      <x:c r="Z154" s="45"/>
      <x:c r="AA154" s="471" t="str">
        <x:f t="shared" si="218"/>
        <x:v/>
      </x:c>
      <x:c r="AB154" s="471" t="str">
        <x:f t="shared" si="219"/>
        <x:v/>
      </x:c>
      <x:c r="AC154" s="471" t="str">
        <x:f t="shared" si="220"/>
        <x:v/>
      </x:c>
      <x:c r="AD154" s="471" t="str">
        <x:f t="shared" si="221"/>
        <x:v/>
      </x:c>
      <x:c r="AE154" s="46"/>
      <x:c r="AF154" s="471" t="str">
        <x:f t="shared" si="222"/>
        <x:v/>
      </x:c>
      <x:c r="AG154" s="471" t="str">
        <x:f t="shared" si="223"/>
        <x:v/>
      </x:c>
      <x:c r="AH154" s="471" t="str">
        <x:f t="shared" si="224"/>
        <x:v/>
      </x:c>
      <x:c r="AI154" s="471" t="str">
        <x:f t="shared" si="225"/>
        <x:v/>
      </x:c>
      <x:c r="AJ154" s="87"/>
      <x:c r="AK154" s="374" t="str">
        <x:f>IF($AQ154="","",IF(OR($AL154="",$AL154="도비"),"",CONCATENATE($AQ154,"-",COUNTIF($AQ$8:$AQ154,$AQ154))))</x:f>
        <x:v/>
      </x:c>
      <x:c r="AL154" s="374" t="str">
        <x:f t="shared" si="226"/>
        <x:v/>
      </x:c>
      <x:c r="AM154" s="87"/>
      <x:c r="AN154" s="375" t="str">
        <x:f>IF($AQ154="","",IF(OR($AO154="",$AO154="국비",$AO154="자체"),"",CONCATENATE($AQ154,"-",$AO154,"-",COUNTIF($AQ$8:$AQ154,$AQ154))))</x:f>
        <x:v/>
      </x:c>
      <x:c r="AO154" s="375" t="str">
        <x:f t="shared" si="227"/>
        <x:v/>
      </x:c>
      <x:c r="AP154" s="87"/>
      <x:c r="AQ154" s="374" t="str">
        <x:f t="array" ref="AQ154:AQ154">IF(OR($D154="",$C154="직접입력",$B154="직접입력"),"",INDEX(구분표!$I$2:$I$337,MATCH(1,(구분표!$G$2:$G$337='3. 일입'!$B154)*(구분표!$E$2:$E$337='3. 일입'!$C154)*(구분표!$F$2:$F$337='3. 일입'!$D154),0)))</x:f>
        <x:v/>
      </x:c>
      <x:c r="AR154" s="87"/>
      <x:c r="AS154" s="472" t="str">
        <x:f>IF($AK154="","",SUMIFS('3. 일출(의존)'!$AB$7:$AB$1989,'3. 일출(의존)'!$AN$7:$AN$1989,$AK154))</x:f>
        <x:v/>
      </x:c>
      <x:c r="AT154" s="377" t="str">
        <x:f>IF($AK154="","",COUNTIF('3. 일출(의존)'!$AN$7:$AN$1989,$AK154))</x:f>
        <x:v/>
      </x:c>
      <x:c r="AU154" s="374" t="str">
        <x:f t="shared" si="228"/>
        <x:v/>
      </x:c>
      <x:c r="AV154" s="472" t="str">
        <x:f>IF($AN154="","",IF($AO154="지역개발기금",SUMIFS('3. 일출(의존)'!$AE$8:$AE$2000,'3. 일출(의존)'!$AS$8:$AS$2000,$AN154)+SUMIFS('3. 일출(자체)'!$AE$8:$AE$2000,'3. 일출(자체)'!$AM$8:$AM$2000,$AN154),IF($AO154="지방채",SUMIFS('3. 일출(의존)'!$AD$8:$AD$2000,'3. 일출(의존)'!$AS$8:$AS$2000,$AN154)+SUMIFS('3. 일출(자체)'!$AD$8:$AD$2000,'3. 일출(자체)'!$AM$8:$AM$2000,$AN154),0)))</x:f>
        <x:v/>
      </x:c>
      <x:c r="AW154" s="377" t="str">
        <x:f>IF($AN154="","",COUNTIF('3. 일출(의존)'!$AS$8:$AS$2000,$AN154)+COUNTIF('3. 일출(자체)'!$AM$8:$AM$2000,$AN154))</x:f>
        <x:v/>
      </x:c>
      <x:c r="AX154" s="374" t="str">
        <x:f t="shared" si="229"/>
        <x:v/>
      </x:c>
      <x:c r="AY154" s="91"/>
      <x:c r="AZ154" s="472" t="str">
        <x:f>IF($AK154="","",SUMIFS('3. 일출(의존)'!$AH$8:$AH$1989,'3. 일출(의존)'!$AN$8:$AN$1989,$AK154))</x:f>
        <x:v/>
      </x:c>
      <x:c r="BA154" s="377" t="str">
        <x:f>IF($AK154="","",COUNTIF('3. 일출(의존)'!$AN$7:$AN$1989,$AK154))</x:f>
        <x:v/>
      </x:c>
      <x:c r="BB154" s="374" t="str">
        <x:f t="shared" si="230"/>
        <x:v/>
      </x:c>
      <x:c r="BC154" s="472" t="str">
        <x:f>IF($AN154="","",IF($AO154="지역개발기금",SUMIFS('3. 일출(의존)'!$AK$8:$AK$2000,'3. 일출(의존)'!$AS$8:$AS$2000,$AN154)+SUMIFS('3. 일출(자체)'!$AJ$8:$AJ$2000,'3. 일출(자체)'!$AM$8:$AM$2000,$AN154),IF($AO154="지방채",SUMIFS('3. 일출(의존)'!$AJ$8:$AJ$2000,'3. 일출(의존)'!$AS$8:$AS$2000,$AN154)+SUMIFS('3. 일출(자체)'!$AI$8:$AI$2000,'3. 일출(자체)'!$AM$8:$AM$2000,$AN154),0)))</x:f>
        <x:v/>
      </x:c>
      <x:c r="BD154" s="377" t="str">
        <x:f>IF($AN154="","",COUNTIF('3. 일출(의존)'!$AS$8:$AS$2000,$AN154)+COUNTIF('3. 일출(자체)'!$AM$8:$AM$2000,$AN154))</x:f>
        <x:v/>
      </x:c>
      <x:c r="BE154" s="374" t="str">
        <x:f t="shared" si="231"/>
        <x:v/>
      </x:c>
    </x:row>
    <x:row r="155" spans="1:57" s="20" customFormat="1" ht="80.099999999999994" customHeight="1">
      <x:c r="A155" s="155" t="str">
        <x:f>IF(D155="","",COUNTA($C$8:C155)-COUNTBLANK($C$8:C155)+9)</x:f>
        <x:v/>
      </x:c>
      <x:c r="B155" s="156" t="str">
        <x: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x:f>
        <x:v/>
      </x:c>
      <x:c r="C155" s="156" t="str">
        <x:f>IF(D155="","",IF(OR(D155="교육지원과",D155="총무과",D155="인사과"),"직접입력",VLOOKUP(D155,구분표!$A$3:$C$258,3,)))</x:f>
        <x:v/>
      </x:c>
      <x:c r="D155" s="219"/>
      <x:c r="E155" s="213"/>
      <x:c r="F155" s="388" t="str">
        <x:f t="shared" si="232"/>
        <x:v/>
      </x:c>
      <x:c r="G155" s="388" t="str">
        <x:f t="shared" si="232"/>
        <x:v/>
      </x:c>
      <x:c r="H155" s="213"/>
      <x:c r="I155" s="156" t="str">
        <x:f>IF(H155="","",VLOOKUP($H155,구분표!$O$3:$P$168,2,FALSE))</x:f>
        <x:v/>
      </x:c>
      <x:c r="J155" s="215"/>
      <x:c r="K155" s="459" t="str">
        <x:f t="shared" si="233"/>
        <x:v/>
      </x:c>
      <x:c r="L155" s="459" t="str">
        <x:f t="shared" si="234"/>
        <x:v/>
      </x:c>
      <x:c r="M155" s="461" t="str">
        <x:f t="shared" si="213"/>
        <x:v/>
      </x:c>
      <x:c r="N155" s="460"/>
      <x:c r="O155" s="461">
        <x:f t="shared" si="214"/>
        <x:v>0</x:v>
      </x:c>
      <x:c r="P155" s="462"/>
      <x:c r="Q155" s="463">
        <x:f t="shared" si="215"/>
        <x:v>0</x:v>
      </x:c>
      <x:c r="R155" s="162" t="str">
        <x:f t="shared" si="216"/>
        <x:v>X</x:v>
      </x:c>
      <x:c r="S155" s="216"/>
      <x:c r="T155" s="327"/>
      <x:c r="U155" s="217"/>
      <x:c r="V155" s="203"/>
      <x:c r="W155" s="217"/>
      <x:c r="X155" s="217"/>
      <x:c r="Y155" s="162" t="str">
        <x:f t="shared" si="217"/>
        <x:v/>
      </x:c>
      <x:c r="Z155" s="45"/>
      <x:c r="AA155" s="471" t="str">
        <x:f t="shared" si="218"/>
        <x:v/>
      </x:c>
      <x:c r="AB155" s="471" t="str">
        <x:f t="shared" si="219"/>
        <x:v/>
      </x:c>
      <x:c r="AC155" s="471" t="str">
        <x:f t="shared" si="220"/>
        <x:v/>
      </x:c>
      <x:c r="AD155" s="471" t="str">
        <x:f t="shared" si="221"/>
        <x:v/>
      </x:c>
      <x:c r="AE155" s="46"/>
      <x:c r="AF155" s="471" t="str">
        <x:f t="shared" si="222"/>
        <x:v/>
      </x:c>
      <x:c r="AG155" s="471" t="str">
        <x:f t="shared" si="223"/>
        <x:v/>
      </x:c>
      <x:c r="AH155" s="471" t="str">
        <x:f t="shared" si="224"/>
        <x:v/>
      </x:c>
      <x:c r="AI155" s="471" t="str">
        <x:f t="shared" si="225"/>
        <x:v/>
      </x:c>
      <x:c r="AJ155" s="87"/>
      <x:c r="AK155" s="374" t="str">
        <x:f>IF($AQ155="","",IF(OR($AL155="",$AL155="도비"),"",CONCATENATE($AQ155,"-",COUNTIF($AQ$8:$AQ155,$AQ155))))</x:f>
        <x:v/>
      </x:c>
      <x:c r="AL155" s="374" t="str">
        <x:f t="shared" si="226"/>
        <x:v/>
      </x:c>
      <x:c r="AM155" s="87"/>
      <x:c r="AN155" s="375" t="str">
        <x:f>IF($AQ155="","",IF(OR($AO155="",$AO155="국비",$AO155="자체"),"",CONCATENATE($AQ155,"-",$AO155,"-",COUNTIF($AQ$8:$AQ155,$AQ155))))</x:f>
        <x:v/>
      </x:c>
      <x:c r="AO155" s="375" t="str">
        <x:f t="shared" si="227"/>
        <x:v/>
      </x:c>
      <x:c r="AP155" s="87"/>
      <x:c r="AQ155" s="374" t="str">
        <x:f t="array" ref="AQ155:AQ155">IF(OR($D155="",$C155="직접입력",$B155="직접입력"),"",INDEX(구분표!$I$2:$I$337,MATCH(1,(구분표!$G$2:$G$337='3. 일입'!$B155)*(구분표!$E$2:$E$337='3. 일입'!$C155)*(구분표!$F$2:$F$337='3. 일입'!$D155),0)))</x:f>
        <x:v/>
      </x:c>
      <x:c r="AR155" s="87"/>
      <x:c r="AS155" s="472" t="str">
        <x:f>IF($AK155="","",SUMIFS('3. 일출(의존)'!$AB$7:$AB$1989,'3. 일출(의존)'!$AN$7:$AN$1989,$AK155))</x:f>
        <x:v/>
      </x:c>
      <x:c r="AT155" s="377" t="str">
        <x:f>IF($AK155="","",COUNTIF('3. 일출(의존)'!$AN$7:$AN$1989,$AK155))</x:f>
        <x:v/>
      </x:c>
      <x:c r="AU155" s="374" t="str">
        <x:f t="shared" si="228"/>
        <x:v/>
      </x:c>
      <x:c r="AV155" s="472" t="str">
        <x:f>IF($AN155="","",IF($AO155="지역개발기금",SUMIFS('3. 일출(의존)'!$AE$8:$AE$2000,'3. 일출(의존)'!$AS$8:$AS$2000,$AN155)+SUMIFS('3. 일출(자체)'!$AE$8:$AE$2000,'3. 일출(자체)'!$AM$8:$AM$2000,$AN155),IF($AO155="지방채",SUMIFS('3. 일출(의존)'!$AD$8:$AD$2000,'3. 일출(의존)'!$AS$8:$AS$2000,$AN155)+SUMIFS('3. 일출(자체)'!$AD$8:$AD$2000,'3. 일출(자체)'!$AM$8:$AM$2000,$AN155),0)))</x:f>
        <x:v/>
      </x:c>
      <x:c r="AW155" s="377" t="str">
        <x:f>IF($AN155="","",COUNTIF('3. 일출(의존)'!$AS$8:$AS$2000,$AN155)+COUNTIF('3. 일출(자체)'!$AM$8:$AM$2000,$AN155))</x:f>
        <x:v/>
      </x:c>
      <x:c r="AX155" s="374" t="str">
        <x:f t="shared" si="229"/>
        <x:v/>
      </x:c>
      <x:c r="AY155" s="91"/>
      <x:c r="AZ155" s="472" t="str">
        <x:f>IF($AK155="","",SUMIFS('3. 일출(의존)'!$AH$8:$AH$1989,'3. 일출(의존)'!$AN$8:$AN$1989,$AK155))</x:f>
        <x:v/>
      </x:c>
      <x:c r="BA155" s="377" t="str">
        <x:f>IF($AK155="","",COUNTIF('3. 일출(의존)'!$AN$7:$AN$1989,$AK155))</x:f>
        <x:v/>
      </x:c>
      <x:c r="BB155" s="374" t="str">
        <x:f t="shared" si="230"/>
        <x:v/>
      </x:c>
      <x:c r="BC155" s="472" t="str">
        <x:f>IF($AN155="","",IF($AO155="지역개발기금",SUMIFS('3. 일출(의존)'!$AK$8:$AK$2000,'3. 일출(의존)'!$AS$8:$AS$2000,$AN155)+SUMIFS('3. 일출(자체)'!$AJ$8:$AJ$2000,'3. 일출(자체)'!$AM$8:$AM$2000,$AN155),IF($AO155="지방채",SUMIFS('3. 일출(의존)'!$AJ$8:$AJ$2000,'3. 일출(의존)'!$AS$8:$AS$2000,$AN155)+SUMIFS('3. 일출(자체)'!$AI$8:$AI$2000,'3. 일출(자체)'!$AM$8:$AM$2000,$AN155),0)))</x:f>
        <x:v/>
      </x:c>
      <x:c r="BD155" s="377" t="str">
        <x:f>IF($AN155="","",COUNTIF('3. 일출(의존)'!$AS$8:$AS$2000,$AN155)+COUNTIF('3. 일출(자체)'!$AM$8:$AM$2000,$AN155))</x:f>
        <x:v/>
      </x:c>
      <x:c r="BE155" s="374" t="str">
        <x:f t="shared" si="231"/>
        <x:v/>
      </x:c>
    </x:row>
    <x:row r="156" spans="1:57" s="20" customFormat="1" ht="80.099999999999994" customHeight="1">
      <x:c r="A156" s="155" t="str">
        <x:f>IF(D156="","",COUNTA($C$8:C156)-COUNTBLANK($C$8:C156)+9)</x:f>
        <x:v/>
      </x:c>
      <x:c r="B156" s="156" t="str">
        <x: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x:f>
        <x:v/>
      </x:c>
      <x:c r="C156" s="156" t="str">
        <x:f>IF(D156="","",IF(OR(D156="교육지원과",D156="총무과",D156="인사과"),"직접입력",VLOOKUP(D156,구분표!$A$3:$C$258,3,)))</x:f>
        <x:v/>
      </x:c>
      <x:c r="D156" s="219"/>
      <x:c r="E156" s="213"/>
      <x:c r="F156" s="388" t="str">
        <x:f t="shared" si="232"/>
        <x:v/>
      </x:c>
      <x:c r="G156" s="388" t="str">
        <x:f t="shared" si="232"/>
        <x:v/>
      </x:c>
      <x:c r="H156" s="213"/>
      <x:c r="I156" s="156" t="str">
        <x:f>IF(H156="","",VLOOKUP($H156,구분표!$O$3:$P$168,2,FALSE))</x:f>
        <x:v/>
      </x:c>
      <x:c r="J156" s="215"/>
      <x:c r="K156" s="459" t="str">
        <x:f t="shared" si="233"/>
        <x:v/>
      </x:c>
      <x:c r="L156" s="459" t="str">
        <x:f t="shared" si="234"/>
        <x:v/>
      </x:c>
      <x:c r="M156" s="461" t="str">
        <x:f t="shared" si="213"/>
        <x:v/>
      </x:c>
      <x:c r="N156" s="460"/>
      <x:c r="O156" s="461">
        <x:f t="shared" si="214"/>
        <x:v>0</x:v>
      </x:c>
      <x:c r="P156" s="462"/>
      <x:c r="Q156" s="463">
        <x:f t="shared" si="215"/>
        <x:v>0</x:v>
      </x:c>
      <x:c r="R156" s="162" t="str">
        <x:f t="shared" si="216"/>
        <x:v>X</x:v>
      </x:c>
      <x:c r="S156" s="216"/>
      <x:c r="T156" s="327"/>
      <x:c r="U156" s="217"/>
      <x:c r="V156" s="203"/>
      <x:c r="W156" s="217"/>
      <x:c r="X156" s="217"/>
      <x:c r="Y156" s="162" t="str">
        <x:f t="shared" si="217"/>
        <x:v/>
      </x:c>
      <x:c r="Z156" s="45"/>
      <x:c r="AA156" s="471" t="str">
        <x:f t="shared" si="218"/>
        <x:v/>
      </x:c>
      <x:c r="AB156" s="471" t="str">
        <x:f t="shared" si="219"/>
        <x:v/>
      </x:c>
      <x:c r="AC156" s="471" t="str">
        <x:f t="shared" si="220"/>
        <x:v/>
      </x:c>
      <x:c r="AD156" s="471" t="str">
        <x:f t="shared" si="221"/>
        <x:v/>
      </x:c>
      <x:c r="AE156" s="46"/>
      <x:c r="AF156" s="471" t="str">
        <x:f t="shared" si="222"/>
        <x:v/>
      </x:c>
      <x:c r="AG156" s="471" t="str">
        <x:f t="shared" si="223"/>
        <x:v/>
      </x:c>
      <x:c r="AH156" s="471" t="str">
        <x:f t="shared" si="224"/>
        <x:v/>
      </x:c>
      <x:c r="AI156" s="471" t="str">
        <x:f t="shared" si="225"/>
        <x:v/>
      </x:c>
      <x:c r="AJ156" s="87"/>
      <x:c r="AK156" s="374" t="str">
        <x:f>IF($AQ156="","",IF(OR($AL156="",$AL156="도비"),"",CONCATENATE($AQ156,"-",COUNTIF($AQ$8:$AQ156,$AQ156))))</x:f>
        <x:v/>
      </x:c>
      <x:c r="AL156" s="374" t="str">
        <x:f t="shared" si="226"/>
        <x:v/>
      </x:c>
      <x:c r="AM156" s="87"/>
      <x:c r="AN156" s="375" t="str">
        <x:f>IF($AQ156="","",IF(OR($AO156="",$AO156="국비",$AO156="자체"),"",CONCATENATE($AQ156,"-",$AO156,"-",COUNTIF($AQ$8:$AQ156,$AQ156))))</x:f>
        <x:v/>
      </x:c>
      <x:c r="AO156" s="375" t="str">
        <x:f t="shared" si="227"/>
        <x:v/>
      </x:c>
      <x:c r="AP156" s="87"/>
      <x:c r="AQ156" s="374" t="str">
        <x:f t="array" ref="AQ156:AQ156">IF(OR($D156="",$C156="직접입력",$B156="직접입력"),"",INDEX(구분표!$I$2:$I$337,MATCH(1,(구분표!$G$2:$G$337='3. 일입'!$B156)*(구분표!$E$2:$E$337='3. 일입'!$C156)*(구분표!$F$2:$F$337='3. 일입'!$D156),0)))</x:f>
        <x:v/>
      </x:c>
      <x:c r="AR156" s="87"/>
      <x:c r="AS156" s="472" t="str">
        <x:f>IF($AK156="","",SUMIFS('3. 일출(의존)'!$AB$7:$AB$1989,'3. 일출(의존)'!$AN$7:$AN$1989,$AK156))</x:f>
        <x:v/>
      </x:c>
      <x:c r="AT156" s="377" t="str">
        <x:f>IF($AK156="","",COUNTIF('3. 일출(의존)'!$AN$7:$AN$1989,$AK156))</x:f>
        <x:v/>
      </x:c>
      <x:c r="AU156" s="374" t="str">
        <x:f t="shared" si="228"/>
        <x:v/>
      </x:c>
      <x:c r="AV156" s="472" t="str">
        <x:f>IF($AN156="","",IF($AO156="지역개발기금",SUMIFS('3. 일출(의존)'!$AE$8:$AE$2000,'3. 일출(의존)'!$AS$8:$AS$2000,$AN156)+SUMIFS('3. 일출(자체)'!$AE$8:$AE$2000,'3. 일출(자체)'!$AM$8:$AM$2000,$AN156),IF($AO156="지방채",SUMIFS('3. 일출(의존)'!$AD$8:$AD$2000,'3. 일출(의존)'!$AS$8:$AS$2000,$AN156)+SUMIFS('3. 일출(자체)'!$AD$8:$AD$2000,'3. 일출(자체)'!$AM$8:$AM$2000,$AN156),0)))</x:f>
        <x:v/>
      </x:c>
      <x:c r="AW156" s="377" t="str">
        <x:f>IF($AN156="","",COUNTIF('3. 일출(의존)'!$AS$8:$AS$2000,$AN156)+COUNTIF('3. 일출(자체)'!$AM$8:$AM$2000,$AN156))</x:f>
        <x:v/>
      </x:c>
      <x:c r="AX156" s="374" t="str">
        <x:f t="shared" si="229"/>
        <x:v/>
      </x:c>
      <x:c r="AY156" s="91"/>
      <x:c r="AZ156" s="472" t="str">
        <x:f>IF($AK156="","",SUMIFS('3. 일출(의존)'!$AH$8:$AH$1989,'3. 일출(의존)'!$AN$8:$AN$1989,$AK156))</x:f>
        <x:v/>
      </x:c>
      <x:c r="BA156" s="377" t="str">
        <x:f>IF($AK156="","",COUNTIF('3. 일출(의존)'!$AN$7:$AN$1989,$AK156))</x:f>
        <x:v/>
      </x:c>
      <x:c r="BB156" s="374" t="str">
        <x:f t="shared" si="230"/>
        <x:v/>
      </x:c>
      <x:c r="BC156" s="472" t="str">
        <x:f>IF($AN156="","",IF($AO156="지역개발기금",SUMIFS('3. 일출(의존)'!$AK$8:$AK$2000,'3. 일출(의존)'!$AS$8:$AS$2000,$AN156)+SUMIFS('3. 일출(자체)'!$AJ$8:$AJ$2000,'3. 일출(자체)'!$AM$8:$AM$2000,$AN156),IF($AO156="지방채",SUMIFS('3. 일출(의존)'!$AJ$8:$AJ$2000,'3. 일출(의존)'!$AS$8:$AS$2000,$AN156)+SUMIFS('3. 일출(자체)'!$AI$8:$AI$2000,'3. 일출(자체)'!$AM$8:$AM$2000,$AN156),0)))</x:f>
        <x:v/>
      </x:c>
      <x:c r="BD156" s="377" t="str">
        <x:f>IF($AN156="","",COUNTIF('3. 일출(의존)'!$AS$8:$AS$2000,$AN156)+COUNTIF('3. 일출(자체)'!$AM$8:$AM$2000,$AN156))</x:f>
        <x:v/>
      </x:c>
      <x:c r="BE156" s="374" t="str">
        <x:f t="shared" si="231"/>
        <x:v/>
      </x:c>
    </x:row>
    <x:row r="157" spans="1:57" s="20" customFormat="1" ht="80.099999999999994" customHeight="1">
      <x:c r="A157" s="155" t="str">
        <x:f>IF(D157="","",COUNTA($C$8:C157)-COUNTBLANK($C$8:C157)+9)</x:f>
        <x:v/>
      </x:c>
      <x:c r="B157" s="156" t="str">
        <x: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x:f>
        <x:v/>
      </x:c>
      <x:c r="C157" s="156" t="str">
        <x:f>IF(D157="","",IF(OR(D157="교육지원과",D157="총무과",D157="인사과"),"직접입력",VLOOKUP(D157,구분표!$A$3:$C$258,3,)))</x:f>
        <x:v/>
      </x:c>
      <x:c r="D157" s="219"/>
      <x:c r="E157" s="213"/>
      <x:c r="F157" s="388" t="str">
        <x:f t="shared" si="232"/>
        <x:v/>
      </x:c>
      <x:c r="G157" s="388" t="str">
        <x:f t="shared" si="232"/>
        <x:v/>
      </x:c>
      <x:c r="H157" s="213"/>
      <x:c r="I157" s="156" t="str">
        <x:f>IF(H157="","",VLOOKUP($H157,구분표!$O$3:$P$168,2,FALSE))</x:f>
        <x:v/>
      </x:c>
      <x:c r="J157" s="215"/>
      <x:c r="K157" s="459" t="str">
        <x:f t="shared" si="233"/>
        <x:v/>
      </x:c>
      <x:c r="L157" s="459" t="str">
        <x:f t="shared" si="234"/>
        <x:v/>
      </x:c>
      <x:c r="M157" s="461" t="str">
        <x:f t="shared" si="213"/>
        <x:v/>
      </x:c>
      <x:c r="N157" s="460"/>
      <x:c r="O157" s="461">
        <x:f t="shared" si="214"/>
        <x:v>0</x:v>
      </x:c>
      <x:c r="P157" s="462"/>
      <x:c r="Q157" s="463">
        <x:f t="shared" si="215"/>
        <x:v>0</x:v>
      </x:c>
      <x:c r="R157" s="162" t="str">
        <x:f t="shared" si="216"/>
        <x:v>X</x:v>
      </x:c>
      <x:c r="S157" s="216"/>
      <x:c r="T157" s="327"/>
      <x:c r="U157" s="217"/>
      <x:c r="V157" s="203"/>
      <x:c r="W157" s="217"/>
      <x:c r="X157" s="217"/>
      <x:c r="Y157" s="162" t="str">
        <x:f t="shared" si="217"/>
        <x:v/>
      </x:c>
      <x:c r="Z157" s="45"/>
      <x:c r="AA157" s="471" t="str">
        <x:f t="shared" si="218"/>
        <x:v/>
      </x:c>
      <x:c r="AB157" s="471" t="str">
        <x:f t="shared" si="219"/>
        <x:v/>
      </x:c>
      <x:c r="AC157" s="471" t="str">
        <x:f t="shared" si="220"/>
        <x:v/>
      </x:c>
      <x:c r="AD157" s="471" t="str">
        <x:f t="shared" si="221"/>
        <x:v/>
      </x:c>
      <x:c r="AE157" s="46"/>
      <x:c r="AF157" s="471" t="str">
        <x:f t="shared" si="222"/>
        <x:v/>
      </x:c>
      <x:c r="AG157" s="471" t="str">
        <x:f t="shared" si="223"/>
        <x:v/>
      </x:c>
      <x:c r="AH157" s="471" t="str">
        <x:f t="shared" si="224"/>
        <x:v/>
      </x:c>
      <x:c r="AI157" s="471" t="str">
        <x:f t="shared" si="225"/>
        <x:v/>
      </x:c>
      <x:c r="AJ157" s="87"/>
      <x:c r="AK157" s="374" t="str">
        <x:f>IF($AQ157="","",IF(OR($AL157="",$AL157="도비"),"",CONCATENATE($AQ157,"-",COUNTIF($AQ$8:$AQ157,$AQ157))))</x:f>
        <x:v/>
      </x:c>
      <x:c r="AL157" s="374" t="str">
        <x:f t="shared" si="226"/>
        <x:v/>
      </x:c>
      <x:c r="AM157" s="87"/>
      <x:c r="AN157" s="375" t="str">
        <x:f>IF($AQ157="","",IF(OR($AO157="",$AO157="국비",$AO157="자체"),"",CONCATENATE($AQ157,"-",$AO157,"-",COUNTIF($AQ$8:$AQ157,$AQ157))))</x:f>
        <x:v/>
      </x:c>
      <x:c r="AO157" s="375" t="str">
        <x:f t="shared" si="227"/>
        <x:v/>
      </x:c>
      <x:c r="AP157" s="87"/>
      <x:c r="AQ157" s="374" t="str">
        <x:f t="array" ref="AQ157:AQ157">IF(OR($D157="",$C157="직접입력",$B157="직접입력"),"",INDEX(구분표!$I$2:$I$337,MATCH(1,(구분표!$G$2:$G$337='3. 일입'!$B157)*(구분표!$E$2:$E$337='3. 일입'!$C157)*(구분표!$F$2:$F$337='3. 일입'!$D157),0)))</x:f>
        <x:v/>
      </x:c>
      <x:c r="AR157" s="87"/>
      <x:c r="AS157" s="472" t="str">
        <x:f>IF($AK157="","",SUMIFS('3. 일출(의존)'!$AB$7:$AB$1989,'3. 일출(의존)'!$AN$7:$AN$1989,$AK157))</x:f>
        <x:v/>
      </x:c>
      <x:c r="AT157" s="377" t="str">
        <x:f>IF($AK157="","",COUNTIF('3. 일출(의존)'!$AN$7:$AN$1989,$AK157))</x:f>
        <x:v/>
      </x:c>
      <x:c r="AU157" s="374" t="str">
        <x:f t="shared" si="228"/>
        <x:v/>
      </x:c>
      <x:c r="AV157" s="472" t="str">
        <x:f>IF($AN157="","",IF($AO157="지역개발기금",SUMIFS('3. 일출(의존)'!$AE$8:$AE$2000,'3. 일출(의존)'!$AS$8:$AS$2000,$AN157)+SUMIFS('3. 일출(자체)'!$AE$8:$AE$2000,'3. 일출(자체)'!$AM$8:$AM$2000,$AN157),IF($AO157="지방채",SUMIFS('3. 일출(의존)'!$AD$8:$AD$2000,'3. 일출(의존)'!$AS$8:$AS$2000,$AN157)+SUMIFS('3. 일출(자체)'!$AD$8:$AD$2000,'3. 일출(자체)'!$AM$8:$AM$2000,$AN157),0)))</x:f>
        <x:v/>
      </x:c>
      <x:c r="AW157" s="377" t="str">
        <x:f>IF($AN157="","",COUNTIF('3. 일출(의존)'!$AS$8:$AS$2000,$AN157)+COUNTIF('3. 일출(자체)'!$AM$8:$AM$2000,$AN157))</x:f>
        <x:v/>
      </x:c>
      <x:c r="AX157" s="374" t="str">
        <x:f t="shared" si="229"/>
        <x:v/>
      </x:c>
      <x:c r="AY157" s="91"/>
      <x:c r="AZ157" s="472" t="str">
        <x:f>IF($AK157="","",SUMIFS('3. 일출(의존)'!$AH$8:$AH$1989,'3. 일출(의존)'!$AN$8:$AN$1989,$AK157))</x:f>
        <x:v/>
      </x:c>
      <x:c r="BA157" s="377" t="str">
        <x:f>IF($AK157="","",COUNTIF('3. 일출(의존)'!$AN$7:$AN$1989,$AK157))</x:f>
        <x:v/>
      </x:c>
      <x:c r="BB157" s="374" t="str">
        <x:f t="shared" si="230"/>
        <x:v/>
      </x:c>
      <x:c r="BC157" s="472" t="str">
        <x:f>IF($AN157="","",IF($AO157="지역개발기금",SUMIFS('3. 일출(의존)'!$AK$8:$AK$2000,'3. 일출(의존)'!$AS$8:$AS$2000,$AN157)+SUMIFS('3. 일출(자체)'!$AJ$8:$AJ$2000,'3. 일출(자체)'!$AM$8:$AM$2000,$AN157),IF($AO157="지방채",SUMIFS('3. 일출(의존)'!$AJ$8:$AJ$2000,'3. 일출(의존)'!$AS$8:$AS$2000,$AN157)+SUMIFS('3. 일출(자체)'!$AI$8:$AI$2000,'3. 일출(자체)'!$AM$8:$AM$2000,$AN157),0)))</x:f>
        <x:v/>
      </x:c>
      <x:c r="BD157" s="377" t="str">
        <x:f>IF($AN157="","",COUNTIF('3. 일출(의존)'!$AS$8:$AS$2000,$AN157)+COUNTIF('3. 일출(자체)'!$AM$8:$AM$2000,$AN157))</x:f>
        <x:v/>
      </x:c>
      <x:c r="BE157" s="374" t="str">
        <x:f t="shared" si="231"/>
        <x:v/>
      </x:c>
    </x:row>
    <x:row r="158" spans="1:57" s="20" customFormat="1" ht="80.099999999999994" customHeight="1">
      <x:c r="A158" s="155" t="str">
        <x:f>IF(D158="","",COUNTA($C$8:C158)-COUNTBLANK($C$8:C158)+9)</x:f>
        <x:v/>
      </x:c>
      <x:c r="B158" s="156" t="str">
        <x: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x:f>
        <x:v/>
      </x:c>
      <x:c r="C158" s="156" t="str">
        <x:f>IF(D158="","",IF(OR(D158="교육지원과",D158="총무과",D158="인사과"),"직접입력",VLOOKUP(D158,구분표!$A$3:$C$258,3,)))</x:f>
        <x:v/>
      </x:c>
      <x:c r="D158" s="219"/>
      <x:c r="E158" s="213"/>
      <x:c r="F158" s="388" t="str">
        <x:f t="shared" si="232"/>
        <x:v/>
      </x:c>
      <x:c r="G158" s="388" t="str">
        <x:f t="shared" si="232"/>
        <x:v/>
      </x:c>
      <x:c r="H158" s="213"/>
      <x:c r="I158" s="156" t="str">
        <x:f>IF(H158="","",VLOOKUP($H158,구분표!$O$3:$P$168,2,FALSE))</x:f>
        <x:v/>
      </x:c>
      <x:c r="J158" s="215"/>
      <x:c r="K158" s="459" t="str">
        <x:f t="shared" si="233"/>
        <x:v/>
      </x:c>
      <x:c r="L158" s="459" t="str">
        <x:f t="shared" si="234"/>
        <x:v/>
      </x:c>
      <x:c r="M158" s="461" t="str">
        <x:f t="shared" si="213"/>
        <x:v/>
      </x:c>
      <x:c r="N158" s="460"/>
      <x:c r="O158" s="461">
        <x:f t="shared" si="214"/>
        <x:v>0</x:v>
      </x:c>
      <x:c r="P158" s="462"/>
      <x:c r="Q158" s="463">
        <x:f t="shared" si="215"/>
        <x:v>0</x:v>
      </x:c>
      <x:c r="R158" s="162" t="str">
        <x:f t="shared" si="216"/>
        <x:v>X</x:v>
      </x:c>
      <x:c r="S158" s="216"/>
      <x:c r="T158" s="327"/>
      <x:c r="U158" s="217"/>
      <x:c r="V158" s="203"/>
      <x:c r="W158" s="217"/>
      <x:c r="X158" s="217"/>
      <x:c r="Y158" s="162" t="str">
        <x:f t="shared" si="217"/>
        <x:v/>
      </x:c>
      <x:c r="Z158" s="45"/>
      <x:c r="AA158" s="471" t="str">
        <x:f t="shared" si="218"/>
        <x:v/>
      </x:c>
      <x:c r="AB158" s="471" t="str">
        <x:f t="shared" si="219"/>
        <x:v/>
      </x:c>
      <x:c r="AC158" s="471" t="str">
        <x:f t="shared" si="220"/>
        <x:v/>
      </x:c>
      <x:c r="AD158" s="471" t="str">
        <x:f t="shared" si="221"/>
        <x:v/>
      </x:c>
      <x:c r="AE158" s="46"/>
      <x:c r="AF158" s="471" t="str">
        <x:f t="shared" si="222"/>
        <x:v/>
      </x:c>
      <x:c r="AG158" s="471" t="str">
        <x:f t="shared" si="223"/>
        <x:v/>
      </x:c>
      <x:c r="AH158" s="471" t="str">
        <x:f t="shared" si="224"/>
        <x:v/>
      </x:c>
      <x:c r="AI158" s="471" t="str">
        <x:f t="shared" si="225"/>
        <x:v/>
      </x:c>
      <x:c r="AJ158" s="87"/>
      <x:c r="AK158" s="374" t="str">
        <x:f>IF($AQ158="","",IF(OR($AL158="",$AL158="도비"),"",CONCATENATE($AQ158,"-",COUNTIF($AQ$8:$AQ158,$AQ158))))</x:f>
        <x:v/>
      </x:c>
      <x:c r="AL158" s="374" t="str">
        <x:f t="shared" si="226"/>
        <x:v/>
      </x:c>
      <x:c r="AM158" s="87"/>
      <x:c r="AN158" s="375" t="str">
        <x:f>IF($AQ158="","",IF(OR($AO158="",$AO158="국비",$AO158="자체"),"",CONCATENATE($AQ158,"-",$AO158,"-",COUNTIF($AQ$8:$AQ158,$AQ158))))</x:f>
        <x:v/>
      </x:c>
      <x:c r="AO158" s="375" t="str">
        <x:f t="shared" si="227"/>
        <x:v/>
      </x:c>
      <x:c r="AP158" s="87"/>
      <x:c r="AQ158" s="374" t="str">
        <x:f t="array" ref="AQ158:AQ158">IF(OR($D158="",$C158="직접입력",$B158="직접입력"),"",INDEX(구분표!$I$2:$I$337,MATCH(1,(구분표!$G$2:$G$337='3. 일입'!$B158)*(구분표!$E$2:$E$337='3. 일입'!$C158)*(구분표!$F$2:$F$337='3. 일입'!$D158),0)))</x:f>
        <x:v/>
      </x:c>
      <x:c r="AR158" s="87"/>
      <x:c r="AS158" s="472" t="str">
        <x:f>IF($AK158="","",SUMIFS('3. 일출(의존)'!$AB$7:$AB$1989,'3. 일출(의존)'!$AN$7:$AN$1989,$AK158))</x:f>
        <x:v/>
      </x:c>
      <x:c r="AT158" s="377" t="str">
        <x:f>IF($AK158="","",COUNTIF('3. 일출(의존)'!$AN$7:$AN$1989,$AK158))</x:f>
        <x:v/>
      </x:c>
      <x:c r="AU158" s="374" t="str">
        <x:f t="shared" si="228"/>
        <x:v/>
      </x:c>
      <x:c r="AV158" s="472" t="str">
        <x:f>IF($AN158="","",IF($AO158="지역개발기금",SUMIFS('3. 일출(의존)'!$AE$8:$AE$2000,'3. 일출(의존)'!$AS$8:$AS$2000,$AN158)+SUMIFS('3. 일출(자체)'!$AE$8:$AE$2000,'3. 일출(자체)'!$AM$8:$AM$2000,$AN158),IF($AO158="지방채",SUMIFS('3. 일출(의존)'!$AD$8:$AD$2000,'3. 일출(의존)'!$AS$8:$AS$2000,$AN158)+SUMIFS('3. 일출(자체)'!$AD$8:$AD$2000,'3. 일출(자체)'!$AM$8:$AM$2000,$AN158),0)))</x:f>
        <x:v/>
      </x:c>
      <x:c r="AW158" s="377" t="str">
        <x:f>IF($AN158="","",COUNTIF('3. 일출(의존)'!$AS$8:$AS$2000,$AN158)+COUNTIF('3. 일출(자체)'!$AM$8:$AM$2000,$AN158))</x:f>
        <x:v/>
      </x:c>
      <x:c r="AX158" s="374" t="str">
        <x:f t="shared" si="229"/>
        <x:v/>
      </x:c>
      <x:c r="AY158" s="91"/>
      <x:c r="AZ158" s="472" t="str">
        <x:f>IF($AK158="","",SUMIFS('3. 일출(의존)'!$AH$8:$AH$1989,'3. 일출(의존)'!$AN$8:$AN$1989,$AK158))</x:f>
        <x:v/>
      </x:c>
      <x:c r="BA158" s="377" t="str">
        <x:f>IF($AK158="","",COUNTIF('3. 일출(의존)'!$AN$7:$AN$1989,$AK158))</x:f>
        <x:v/>
      </x:c>
      <x:c r="BB158" s="374" t="str">
        <x:f t="shared" si="230"/>
        <x:v/>
      </x:c>
      <x:c r="BC158" s="472" t="str">
        <x:f>IF($AN158="","",IF($AO158="지역개발기금",SUMIFS('3. 일출(의존)'!$AK$8:$AK$2000,'3. 일출(의존)'!$AS$8:$AS$2000,$AN158)+SUMIFS('3. 일출(자체)'!$AJ$8:$AJ$2000,'3. 일출(자체)'!$AM$8:$AM$2000,$AN158),IF($AO158="지방채",SUMIFS('3. 일출(의존)'!$AJ$8:$AJ$2000,'3. 일출(의존)'!$AS$8:$AS$2000,$AN158)+SUMIFS('3. 일출(자체)'!$AI$8:$AI$2000,'3. 일출(자체)'!$AM$8:$AM$2000,$AN158),0)))</x:f>
        <x:v/>
      </x:c>
      <x:c r="BD158" s="377" t="str">
        <x:f>IF($AN158="","",COUNTIF('3. 일출(의존)'!$AS$8:$AS$2000,$AN158)+COUNTIF('3. 일출(자체)'!$AM$8:$AM$2000,$AN158))</x:f>
        <x:v/>
      </x:c>
      <x:c r="BE158" s="374" t="str">
        <x:f t="shared" si="231"/>
        <x:v/>
      </x:c>
    </x:row>
    <x:row r="159" spans="1:57" s="20" customFormat="1" ht="80.099999999999994" customHeight="1">
      <x:c r="A159" s="155" t="str">
        <x:f>IF(D159="","",COUNTA($C$8:C159)-COUNTBLANK($C$8:C159)+9)</x:f>
        <x:v/>
      </x:c>
      <x:c r="B159" s="156" t="str">
        <x: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x:f>
        <x:v/>
      </x:c>
      <x:c r="C159" s="156" t="str">
        <x:f>IF(D159="","",IF(OR(D159="교육지원과",D159="총무과",D159="인사과"),"직접입력",VLOOKUP(D159,구분표!$A$3:$C$258,3,)))</x:f>
        <x:v/>
      </x:c>
      <x:c r="D159" s="219"/>
      <x:c r="E159" s="213"/>
      <x:c r="F159" s="388" t="str">
        <x:f t="shared" si="232"/>
        <x:v/>
      </x:c>
      <x:c r="G159" s="388" t="str">
        <x:f t="shared" si="232"/>
        <x:v/>
      </x:c>
      <x:c r="H159" s="213"/>
      <x:c r="I159" s="156" t="str">
        <x:f>IF(H159="","",VLOOKUP($H159,구분표!$O$3:$P$168,2,FALSE))</x:f>
        <x:v/>
      </x:c>
      <x:c r="J159" s="215"/>
      <x:c r="K159" s="459" t="str">
        <x:f t="shared" si="233"/>
        <x:v/>
      </x:c>
      <x:c r="L159" s="459" t="str">
        <x:f t="shared" si="234"/>
        <x:v/>
      </x:c>
      <x:c r="M159" s="461" t="str">
        <x:f t="shared" si="213"/>
        <x:v/>
      </x:c>
      <x:c r="N159" s="460"/>
      <x:c r="O159" s="461">
        <x:f t="shared" si="214"/>
        <x:v>0</x:v>
      </x:c>
      <x:c r="P159" s="462"/>
      <x:c r="Q159" s="463">
        <x:f t="shared" si="215"/>
        <x:v>0</x:v>
      </x:c>
      <x:c r="R159" s="162" t="str">
        <x:f t="shared" si="216"/>
        <x:v>X</x:v>
      </x:c>
      <x:c r="S159" s="216"/>
      <x:c r="T159" s="327"/>
      <x:c r="U159" s="217"/>
      <x:c r="V159" s="203"/>
      <x:c r="W159" s="217"/>
      <x:c r="X159" s="217"/>
      <x:c r="Y159" s="162" t="str">
        <x:f t="shared" si="217"/>
        <x:v/>
      </x:c>
      <x:c r="Z159" s="45"/>
      <x:c r="AA159" s="471" t="str">
        <x:f t="shared" si="218"/>
        <x:v/>
      </x:c>
      <x:c r="AB159" s="471" t="str">
        <x:f t="shared" si="219"/>
        <x:v/>
      </x:c>
      <x:c r="AC159" s="471" t="str">
        <x:f t="shared" si="220"/>
        <x:v/>
      </x:c>
      <x:c r="AD159" s="471" t="str">
        <x:f t="shared" si="221"/>
        <x:v/>
      </x:c>
      <x:c r="AE159" s="46"/>
      <x:c r="AF159" s="471" t="str">
        <x:f t="shared" si="222"/>
        <x:v/>
      </x:c>
      <x:c r="AG159" s="471" t="str">
        <x:f t="shared" si="223"/>
        <x:v/>
      </x:c>
      <x:c r="AH159" s="471" t="str">
        <x:f t="shared" si="224"/>
        <x:v/>
      </x:c>
      <x:c r="AI159" s="471" t="str">
        <x:f t="shared" si="225"/>
        <x:v/>
      </x:c>
      <x:c r="AJ159" s="87"/>
      <x:c r="AK159" s="374" t="str">
        <x:f>IF($AQ159="","",IF(OR($AL159="",$AL159="도비"),"",CONCATENATE($AQ159,"-",COUNTIF($AQ$8:$AQ159,$AQ159))))</x:f>
        <x:v/>
      </x:c>
      <x:c r="AL159" s="374" t="str">
        <x:f t="shared" si="226"/>
        <x:v/>
      </x:c>
      <x:c r="AM159" s="87"/>
      <x:c r="AN159" s="375" t="str">
        <x:f>IF($AQ159="","",IF(OR($AO159="",$AO159="국비",$AO159="자체"),"",CONCATENATE($AQ159,"-",$AO159,"-",COUNTIF($AQ$8:$AQ159,$AQ159))))</x:f>
        <x:v/>
      </x:c>
      <x:c r="AO159" s="375" t="str">
        <x:f t="shared" si="227"/>
        <x:v/>
      </x:c>
      <x:c r="AP159" s="87"/>
      <x:c r="AQ159" s="374" t="str">
        <x:f t="array" ref="AQ159:AQ159">IF(OR($D159="",$C159="직접입력",$B159="직접입력"),"",INDEX(구분표!$I$2:$I$337,MATCH(1,(구분표!$G$2:$G$337='3. 일입'!$B159)*(구분표!$E$2:$E$337='3. 일입'!$C159)*(구분표!$F$2:$F$337='3. 일입'!$D159),0)))</x:f>
        <x:v/>
      </x:c>
      <x:c r="AR159" s="87"/>
      <x:c r="AS159" s="472" t="str">
        <x:f>IF($AK159="","",SUMIFS('3. 일출(의존)'!$AB$7:$AB$1989,'3. 일출(의존)'!$AN$7:$AN$1989,$AK159))</x:f>
        <x:v/>
      </x:c>
      <x:c r="AT159" s="377" t="str">
        <x:f>IF($AK159="","",COUNTIF('3. 일출(의존)'!$AN$7:$AN$1989,$AK159))</x:f>
        <x:v/>
      </x:c>
      <x:c r="AU159" s="374" t="str">
        <x:f t="shared" si="228"/>
        <x:v/>
      </x:c>
      <x:c r="AV159" s="472" t="str">
        <x:f>IF($AN159="","",IF($AO159="지역개발기금",SUMIFS('3. 일출(의존)'!$AE$8:$AE$2000,'3. 일출(의존)'!$AS$8:$AS$2000,$AN159)+SUMIFS('3. 일출(자체)'!$AE$8:$AE$2000,'3. 일출(자체)'!$AM$8:$AM$2000,$AN159),IF($AO159="지방채",SUMIFS('3. 일출(의존)'!$AD$8:$AD$2000,'3. 일출(의존)'!$AS$8:$AS$2000,$AN159)+SUMIFS('3. 일출(자체)'!$AD$8:$AD$2000,'3. 일출(자체)'!$AM$8:$AM$2000,$AN159),0)))</x:f>
        <x:v/>
      </x:c>
      <x:c r="AW159" s="377" t="str">
        <x:f>IF($AN159="","",COUNTIF('3. 일출(의존)'!$AS$8:$AS$2000,$AN159)+COUNTIF('3. 일출(자체)'!$AM$8:$AM$2000,$AN159))</x:f>
        <x:v/>
      </x:c>
      <x:c r="AX159" s="374" t="str">
        <x:f t="shared" si="229"/>
        <x:v/>
      </x:c>
      <x:c r="AY159" s="91"/>
      <x:c r="AZ159" s="472" t="str">
        <x:f>IF($AK159="","",SUMIFS('3. 일출(의존)'!$AH$8:$AH$1989,'3. 일출(의존)'!$AN$8:$AN$1989,$AK159))</x:f>
        <x:v/>
      </x:c>
      <x:c r="BA159" s="377" t="str">
        <x:f>IF($AK159="","",COUNTIF('3. 일출(의존)'!$AN$7:$AN$1989,$AK159))</x:f>
        <x:v/>
      </x:c>
      <x:c r="BB159" s="374" t="str">
        <x:f t="shared" si="230"/>
        <x:v/>
      </x:c>
      <x:c r="BC159" s="472" t="str">
        <x:f>IF($AN159="","",IF($AO159="지역개발기금",SUMIFS('3. 일출(의존)'!$AK$8:$AK$2000,'3. 일출(의존)'!$AS$8:$AS$2000,$AN159)+SUMIFS('3. 일출(자체)'!$AJ$8:$AJ$2000,'3. 일출(자체)'!$AM$8:$AM$2000,$AN159),IF($AO159="지방채",SUMIFS('3. 일출(의존)'!$AJ$8:$AJ$2000,'3. 일출(의존)'!$AS$8:$AS$2000,$AN159)+SUMIFS('3. 일출(자체)'!$AI$8:$AI$2000,'3. 일출(자체)'!$AM$8:$AM$2000,$AN159),0)))</x:f>
        <x:v/>
      </x:c>
      <x:c r="BD159" s="377" t="str">
        <x:f>IF($AN159="","",COUNTIF('3. 일출(의존)'!$AS$8:$AS$2000,$AN159)+COUNTIF('3. 일출(자체)'!$AM$8:$AM$2000,$AN159))</x:f>
        <x:v/>
      </x:c>
      <x:c r="BE159" s="374" t="str">
        <x:f t="shared" si="231"/>
        <x:v/>
      </x:c>
    </x:row>
    <x:row r="160" spans="1:57" s="20" customFormat="1" ht="80.099999999999994" customHeight="1">
      <x:c r="A160" s="155" t="str">
        <x:f>IF(D160="","",COUNTA($C$8:C160)-COUNTBLANK($C$8:C160)+9)</x:f>
        <x:v/>
      </x:c>
      <x:c r="B160" s="156" t="str">
        <x: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x:f>
        <x:v/>
      </x:c>
      <x:c r="C160" s="156" t="str">
        <x:f>IF(D160="","",IF(OR(D160="교육지원과",D160="총무과",D160="인사과"),"직접입력",VLOOKUP(D160,구분표!$A$3:$C$258,3,)))</x:f>
        <x:v/>
      </x:c>
      <x:c r="D160" s="219"/>
      <x:c r="E160" s="213"/>
      <x:c r="F160" s="388" t="str">
        <x:f t="shared" si="232"/>
        <x:v/>
      </x:c>
      <x:c r="G160" s="388" t="str">
        <x:f t="shared" si="232"/>
        <x:v/>
      </x:c>
      <x:c r="H160" s="213"/>
      <x:c r="I160" s="156" t="str">
        <x:f>IF(H160="","",VLOOKUP($H160,구분표!$O$3:$P$168,2,FALSE))</x:f>
        <x:v/>
      </x:c>
      <x:c r="J160" s="215"/>
      <x:c r="K160" s="459" t="str">
        <x:f t="shared" si="233"/>
        <x:v/>
      </x:c>
      <x:c r="L160" s="459" t="str">
        <x:f t="shared" si="234"/>
        <x:v/>
      </x:c>
      <x:c r="M160" s="461" t="str">
        <x:f t="shared" si="213"/>
        <x:v/>
      </x:c>
      <x:c r="N160" s="460"/>
      <x:c r="O160" s="461">
        <x:f t="shared" si="214"/>
        <x:v>0</x:v>
      </x:c>
      <x:c r="P160" s="462"/>
      <x:c r="Q160" s="463">
        <x:f t="shared" si="215"/>
        <x:v>0</x:v>
      </x:c>
      <x:c r="R160" s="162" t="str">
        <x:f t="shared" si="216"/>
        <x:v>X</x:v>
      </x:c>
      <x:c r="S160" s="216"/>
      <x:c r="T160" s="327"/>
      <x:c r="U160" s="217"/>
      <x:c r="V160" s="203"/>
      <x:c r="W160" s="217"/>
      <x:c r="X160" s="217"/>
      <x:c r="Y160" s="162" t="str">
        <x:f t="shared" si="217"/>
        <x:v/>
      </x:c>
      <x:c r="Z160" s="45"/>
      <x:c r="AA160" s="471" t="str">
        <x:f t="shared" si="218"/>
        <x:v/>
      </x:c>
      <x:c r="AB160" s="471" t="str">
        <x:f t="shared" si="219"/>
        <x:v/>
      </x:c>
      <x:c r="AC160" s="471" t="str">
        <x:f t="shared" si="220"/>
        <x:v/>
      </x:c>
      <x:c r="AD160" s="471" t="str">
        <x:f t="shared" si="221"/>
        <x:v/>
      </x:c>
      <x:c r="AE160" s="46"/>
      <x:c r="AF160" s="471" t="str">
        <x:f t="shared" si="222"/>
        <x:v/>
      </x:c>
      <x:c r="AG160" s="471" t="str">
        <x:f t="shared" si="223"/>
        <x:v/>
      </x:c>
      <x:c r="AH160" s="471" t="str">
        <x:f t="shared" si="224"/>
        <x:v/>
      </x:c>
      <x:c r="AI160" s="471" t="str">
        <x:f t="shared" si="225"/>
        <x:v/>
      </x:c>
      <x:c r="AJ160" s="87"/>
      <x:c r="AK160" s="374" t="str">
        <x:f>IF($AQ160="","",IF(OR($AL160="",$AL160="도비"),"",CONCATENATE($AQ160,"-",COUNTIF($AQ$8:$AQ160,$AQ160))))</x:f>
        <x:v/>
      </x:c>
      <x:c r="AL160" s="374" t="str">
        <x:f t="shared" si="226"/>
        <x:v/>
      </x:c>
      <x:c r="AM160" s="87"/>
      <x:c r="AN160" s="375" t="str">
        <x:f>IF($AQ160="","",IF(OR($AO160="",$AO160="국비",$AO160="자체"),"",CONCATENATE($AQ160,"-",$AO160,"-",COUNTIF($AQ$8:$AQ160,$AQ160))))</x:f>
        <x:v/>
      </x:c>
      <x:c r="AO160" s="375" t="str">
        <x:f t="shared" si="227"/>
        <x:v/>
      </x:c>
      <x:c r="AP160" s="87"/>
      <x:c r="AQ160" s="374" t="str">
        <x:f t="array" ref="AQ160:AQ160">IF(OR($D160="",$C160="직접입력",$B160="직접입력"),"",INDEX(구분표!$I$2:$I$337,MATCH(1,(구분표!$G$2:$G$337='3. 일입'!$B160)*(구분표!$E$2:$E$337='3. 일입'!$C160)*(구분표!$F$2:$F$337='3. 일입'!$D160),0)))</x:f>
        <x:v/>
      </x:c>
      <x:c r="AR160" s="87"/>
      <x:c r="AS160" s="472" t="str">
        <x:f>IF($AK160="","",SUMIFS('3. 일출(의존)'!$AB$7:$AB$1989,'3. 일출(의존)'!$AN$7:$AN$1989,$AK160))</x:f>
        <x:v/>
      </x:c>
      <x:c r="AT160" s="377" t="str">
        <x:f>IF($AK160="","",COUNTIF('3. 일출(의존)'!$AN$7:$AN$1989,$AK160))</x:f>
        <x:v/>
      </x:c>
      <x:c r="AU160" s="374" t="str">
        <x:f t="shared" si="228"/>
        <x:v/>
      </x:c>
      <x:c r="AV160" s="472" t="str">
        <x:f>IF($AN160="","",IF($AO160="지역개발기금",SUMIFS('3. 일출(의존)'!$AE$8:$AE$2000,'3. 일출(의존)'!$AS$8:$AS$2000,$AN160)+SUMIFS('3. 일출(자체)'!$AE$8:$AE$2000,'3. 일출(자체)'!$AM$8:$AM$2000,$AN160),IF($AO160="지방채",SUMIFS('3. 일출(의존)'!$AD$8:$AD$2000,'3. 일출(의존)'!$AS$8:$AS$2000,$AN160)+SUMIFS('3. 일출(자체)'!$AD$8:$AD$2000,'3. 일출(자체)'!$AM$8:$AM$2000,$AN160),0)))</x:f>
        <x:v/>
      </x:c>
      <x:c r="AW160" s="377" t="str">
        <x:f>IF($AN160="","",COUNTIF('3. 일출(의존)'!$AS$8:$AS$2000,$AN160)+COUNTIF('3. 일출(자체)'!$AM$8:$AM$2000,$AN160))</x:f>
        <x:v/>
      </x:c>
      <x:c r="AX160" s="374" t="str">
        <x:f t="shared" si="229"/>
        <x:v/>
      </x:c>
      <x:c r="AY160" s="91"/>
      <x:c r="AZ160" s="472" t="str">
        <x:f>IF($AK160="","",SUMIFS('3. 일출(의존)'!$AH$8:$AH$1989,'3. 일출(의존)'!$AN$8:$AN$1989,$AK160))</x:f>
        <x:v/>
      </x:c>
      <x:c r="BA160" s="377" t="str">
        <x:f>IF($AK160="","",COUNTIF('3. 일출(의존)'!$AN$7:$AN$1989,$AK160))</x:f>
        <x:v/>
      </x:c>
      <x:c r="BB160" s="374" t="str">
        <x:f t="shared" si="230"/>
        <x:v/>
      </x:c>
      <x:c r="BC160" s="472" t="str">
        <x:f>IF($AN160="","",IF($AO160="지역개발기금",SUMIFS('3. 일출(의존)'!$AK$8:$AK$2000,'3. 일출(의존)'!$AS$8:$AS$2000,$AN160)+SUMIFS('3. 일출(자체)'!$AJ$8:$AJ$2000,'3. 일출(자체)'!$AM$8:$AM$2000,$AN160),IF($AO160="지방채",SUMIFS('3. 일출(의존)'!$AJ$8:$AJ$2000,'3. 일출(의존)'!$AS$8:$AS$2000,$AN160)+SUMIFS('3. 일출(자체)'!$AI$8:$AI$2000,'3. 일출(자체)'!$AM$8:$AM$2000,$AN160),0)))</x:f>
        <x:v/>
      </x:c>
      <x:c r="BD160" s="377" t="str">
        <x:f>IF($AN160="","",COUNTIF('3. 일출(의존)'!$AS$8:$AS$2000,$AN160)+COUNTIF('3. 일출(자체)'!$AM$8:$AM$2000,$AN160))</x:f>
        <x:v/>
      </x:c>
      <x:c r="BE160" s="374" t="str">
        <x:f t="shared" si="231"/>
        <x:v/>
      </x:c>
    </x:row>
    <x:row r="161" spans="1:57" ht="60" customHeight="1">
      <x:c r="A161" s="212"/>
      <x:c r="B161" s="949" t="s">
        <x:v>62</x:v>
      </x:c>
      <x:c r="C161" s="949"/>
      <x:c r="D161" s="949"/>
      <x:c r="E161" s="949"/>
      <x:c r="F161" s="949"/>
      <x:c r="G161" s="949"/>
      <x:c r="H161" s="212"/>
      <x:c r="I161" s="89"/>
      <x:c r="J161" s="409" t="str">
        <x:f>SUBTOTAL(3,J162:J177)&amp;"건"</x:f>
        <x:v>0건</x:v>
      </x:c>
      <x:c r="K161" s="458">
        <x:f t="shared" ref="K161:L161" si="235">SUBTOTAL(9,K162:K177)</x:f>
        <x:v>0</x:v>
      </x:c>
      <x:c r="L161" s="458">
        <x:f t="shared" si="235"/>
        <x:v>0</x:v>
      </x:c>
      <x:c r="M161" s="458">
        <x:f t="shared" ref="M161:Q161" si="236">SUBTOTAL(9,M162:M177)</x:f>
        <x:v>0</x:v>
      </x:c>
      <x:c r="N161" s="458">
        <x:f t="shared" si="236"/>
        <x:v>0</x:v>
      </x:c>
      <x:c r="O161" s="458">
        <x:f t="shared" si="236"/>
        <x:v>0</x:v>
      </x:c>
      <x:c r="P161" s="458">
        <x:f t="shared" si="236"/>
        <x:v>0</x:v>
      </x:c>
      <x:c r="Q161" s="458">
        <x:f t="shared" si="236"/>
        <x:v>0</x:v>
      </x:c>
      <x:c r="R161" s="78"/>
      <x:c r="S161" s="78"/>
      <x:c r="T161" s="78"/>
      <x:c r="U161" s="78"/>
      <x:c r="V161" s="88"/>
      <x:c r="W161" s="88"/>
      <x:c r="X161" s="88"/>
      <x:c r="Y161" s="90"/>
      <x:c r="Z161" s="43"/>
      <x:c r="AA161" s="470">
        <x:f>SUBTOTAL(9,AA162:AA177)</x:f>
        <x:v>0</x:v>
      </x:c>
      <x:c r="AB161" s="470">
        <x:f t="shared" ref="AB161:AD161" si="237">SUBTOTAL(9,AB162:AB177)</x:f>
        <x:v>0</x:v>
      </x:c>
      <x:c r="AC161" s="470">
        <x:f t="shared" si="237"/>
        <x:v>0</x:v>
      </x:c>
      <x:c r="AD161" s="470">
        <x:f t="shared" si="237"/>
        <x:v>0</x:v>
      </x:c>
      <x:c r="AE161" s="166"/>
      <x:c r="AF161" s="470">
        <x:f>SUBTOTAL(9,AF162:AF177)</x:f>
        <x:v>0</x:v>
      </x:c>
      <x:c r="AG161" s="470">
        <x:f t="shared" ref="AG161:AI161" si="238">SUBTOTAL(9,AG162:AG177)</x:f>
        <x:v>0</x:v>
      </x:c>
      <x:c r="AH161" s="470">
        <x:f t="shared" si="238"/>
        <x:v>0</x:v>
      </x:c>
      <x:c r="AI161" s="470">
        <x:f t="shared" si="238"/>
        <x:v>0</x:v>
      </x:c>
      <x:c r="AJ161" s="53"/>
      <x:c r="AK161" s="80"/>
      <x:c r="AL161" s="80"/>
      <x:c r="AM161" s="53"/>
      <x:c r="AN161" s="80"/>
      <x:c r="AO161" s="80"/>
      <x:c r="AP161" s="53"/>
      <x:c r="AQ161" s="80"/>
      <x:c r="AR161" s="53"/>
      <x:c r="AS161" s="470">
        <x:f>SUBTOTAL(9,AS162:AS177)</x:f>
        <x:v>0</x:v>
      </x:c>
      <x:c r="AT161" s="470">
        <x:f>SUBTOTAL(9,AT162:AT177)</x:f>
        <x:v>0</x:v>
      </x:c>
      <x:c r="AU161" s="554" t="str">
        <x:f>IF(COUNTIF(AU162:AU177,"@@")&gt;0,"@@","OK")</x:f>
        <x:v>OK</x:v>
      </x:c>
      <x:c r="AV161" s="470">
        <x:f>SUBTOTAL(9,AV162:AV177)</x:f>
        <x:v>0</x:v>
      </x:c>
      <x:c r="AW161" s="470">
        <x:f>SUBTOTAL(9,AW162:AW177)</x:f>
        <x:v>0</x:v>
      </x:c>
      <x:c r="AX161" s="554" t="str">
        <x:f>IF(COUNTIF(AX162:AX177,"@@")&gt;0,"@@","OK")</x:f>
        <x:v>OK</x:v>
      </x:c>
      <x:c r="AY161" s="53"/>
      <x:c r="AZ161" s="470">
        <x:f>SUBTOTAL(9,AZ162:AZ177)</x:f>
        <x:v>0</x:v>
      </x:c>
      <x:c r="BA161" s="470">
        <x:f>SUBTOTAL(9,BA162:BA177)</x:f>
        <x:v>0</x:v>
      </x:c>
      <x:c r="BB161" s="554" t="str">
        <x:f>IF(COUNTIF(BB162:BB177,"@@")&gt;0,"@@","OK")</x:f>
        <x:v>OK</x:v>
      </x:c>
      <x:c r="BC161" s="470">
        <x:f>SUBTOTAL(9,BC162:BC177)</x:f>
        <x:v>0</x:v>
      </x:c>
      <x:c r="BD161" s="470">
        <x:f>SUBTOTAL(9,BD162:BD177)</x:f>
        <x:v>0</x:v>
      </x:c>
      <x:c r="BE161" s="554" t="str">
        <x:f>IF(COUNTIF(BE162:BE177,"@@")&gt;0,"@@","OK")</x:f>
        <x:v>OK</x:v>
      </x:c>
    </x:row>
    <x:row r="162" spans="1:57" s="20" customFormat="1" ht="80.099999999999994" customHeight="1">
      <x:c r="A162" s="155" t="str">
        <x:f>IF(D162="","",COUNTA($C$8:C162)-COUNTBLANK($C$8:C162)+10)</x:f>
        <x:v/>
      </x:c>
      <x:c r="B162" s="156" t="str">
        <x: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x:f>
        <x:v/>
      </x:c>
      <x:c r="C162" s="156" t="str">
        <x:f>IF(D162="","",IF(OR(D162="교육지원과",D162="총무과",D162="인사과"),"직접입력",VLOOKUP(D162,구분표!$A$3:$C$258,3,)))</x:f>
        <x:v/>
      </x:c>
      <x:c r="D162" s="219"/>
      <x:c r="E162" s="213"/>
      <x:c r="F162" s="388" t="str">
        <x:f>IF($E162="","",IF($E162="2추","직접입력","-"))</x:f>
        <x:v/>
      </x:c>
      <x:c r="G162" s="388" t="str">
        <x:f>IF($E162="","",IF($E162="2추","직접입력","-"))</x:f>
        <x:v/>
      </x:c>
      <x:c r="H162" s="213"/>
      <x:c r="I162" s="156" t="str">
        <x:f>IF(H162="","",VLOOKUP($H162,구분표!$O$3:$P$168,2,FALSE))</x:f>
        <x:v/>
      </x:c>
      <x:c r="J162" s="215"/>
      <x:c r="K162" s="459" t="str">
        <x:f>IF($E162="","",IF(OR($E162="2추",$E162="1추",$E162="본예산"),"금액입력","-"))</x:f>
        <x:v/>
      </x:c>
      <x:c r="L162" s="459" t="str">
        <x:f>IF($E162="","",IF($E162="2추","금액입력","-"))</x:f>
        <x:v/>
      </x:c>
      <x:c r="M162" s="461" t="str">
        <x:f t="shared" ref="M162:M177" si="239">IF($E162="","",SUM(K162:L162))</x:f>
        <x:v/>
      </x:c>
      <x:c r="N162" s="460"/>
      <x:c r="O162" s="461">
        <x:f t="shared" ref="O162:O177" si="240">SUM(M162:N162)</x:f>
        <x:v>0</x:v>
      </x:c>
      <x:c r="P162" s="462"/>
      <x:c r="Q162" s="463">
        <x:f t="shared" ref="Q162:Q177" si="241">SUM(M162,P162)</x:f>
        <x:v>0</x:v>
      </x:c>
      <x:c r="R162" s="162" t="str">
        <x:f t="shared" ref="R162:R177" si="242">IF(AND((O162=0),(Q162&gt;0)),"O",IF(AND((N162&lt;0),(O162-Q162&lt;0)),"O","X"))</x:f>
        <x:v>X</x:v>
      </x:c>
      <x:c r="S162" s="216"/>
      <x:c r="T162" s="327"/>
      <x:c r="U162" s="217"/>
      <x:c r="V162" s="203"/>
      <x:c r="W162" s="217"/>
      <x:c r="X162" s="217"/>
      <x:c r="Y162" s="162" t="str">
        <x:f t="shared" ref="Y162:Y177" si="243">IF($H162="","",IF(OR($H162="511-01",$H162="511-02",$H162="511-03",$H162="311-02",$H162="311-04",$H162="321-01"),"국비","도비"))</x:f>
        <x:v/>
      </x:c>
      <x:c r="Z162" s="45"/>
      <x:c r="AA162" s="471" t="str">
        <x:f t="shared" ref="AA162:AA177" si="244">IF($Y162="국비",IF($N162&lt;&gt;"",$N162,0),"")</x:f>
        <x:v/>
      </x:c>
      <x:c r="AB162" s="471" t="str">
        <x:f t="shared" ref="AB162:AB177" si="245">IF($Y162="도비",IF($AO162="자체",IF($N162&lt;&gt;"",$N162,0),""),"")</x:f>
        <x:v/>
      </x:c>
      <x:c r="AC162" s="471" t="str">
        <x:f t="shared" ref="AC162:AC177" si="246">IF($Y162="도비",IF($AO162="지방채",IF($N162&lt;&gt;"",$N162,0),""),"")</x:f>
        <x:v/>
      </x:c>
      <x:c r="AD162" s="471" t="str">
        <x:f t="shared" ref="AD162:AD177" si="247">IF($Y162="도비",IF($AO162="지역개발기금",IF($N162&lt;&gt;"",$N162,0),""),"")</x:f>
        <x:v/>
      </x:c>
      <x:c r="AE162" s="46"/>
      <x:c r="AF162" s="471" t="str">
        <x:f t="shared" ref="AF162:AF177" si="248">IF($Y162="국비",IF($P162&lt;&gt;"",$P162,0),"")</x:f>
        <x:v/>
      </x:c>
      <x:c r="AG162" s="471" t="str">
        <x:f t="shared" ref="AG162:AG177" si="249">IF($Y162="도비",IF($AO162="자체",IF($P162&lt;&gt;"",$P162,0),""),"")</x:f>
        <x:v/>
      </x:c>
      <x:c r="AH162" s="471" t="str">
        <x:f t="shared" ref="AH162:AH177" si="250">IF($Y162="도비",IF($AO162="지방채",IF($P162&lt;&gt;"",$P162,0),""),"")</x:f>
        <x:v/>
      </x:c>
      <x:c r="AI162" s="471" t="str">
        <x:f t="shared" ref="AI162:AI177" si="251">IF($Y162="도비",IF($AO162="지역개발기금",IF($P162&lt;&gt;"",$P162,0),""),"")</x:f>
        <x:v/>
      </x:c>
      <x:c r="AJ162" s="87"/>
      <x:c r="AK162" s="374" t="str">
        <x:f>IF($AQ162="","",IF(OR($AL162="",$AL162="도비"),"",CONCATENATE($AQ162,"-",COUNTIF($AQ$8:$AQ162,$AQ162))))</x:f>
        <x:v/>
      </x:c>
      <x:c r="AL162" s="374" t="str">
        <x:f t="shared" ref="AL162:AL177" si="252">IF($H162="","",IF($H162="511-01","국비",IF($H162="511-02","균특",IF($H162="511-03","기금",IF($H162="311-02","특교",IF($H162="311-04","소교",IF($H162="321-01","소멸","도비")))))))</x:f>
        <x:v/>
      </x:c>
      <x:c r="AM162" s="87"/>
      <x:c r="AN162" s="375" t="str">
        <x:f>IF($AQ162="","",IF(OR($AO162="",$AO162="국비",$AO162="자체"),"",CONCATENATE($AQ162,"-",$AO162,"-",COUNTIF($AQ$8:$AQ162,$AQ162))))</x:f>
        <x:v/>
      </x:c>
      <x:c r="AO162" s="375" t="str">
        <x:f t="shared" ref="AO162:AO177" si="253">IF($Y162="","",IF($Y162="국비","국비",IF($H162="612-01","지방채",IF($H162="722-02","지역개발기금","자체"))))</x:f>
        <x:v/>
      </x:c>
      <x:c r="AP162" s="87"/>
      <x:c r="AQ162" s="374" t="str">
        <x:f t="array" ref="AQ162:AQ162">IF(OR($D162="",$C162="직접입력",$B162="직접입력"),"",INDEX(구분표!$I$2:$I$337,MATCH(1,(구분표!$G$2:$G$337='3. 일입'!$B162)*(구분표!$E$2:$E$337='3. 일입'!$C162)*(구분표!$F$2:$F$337='3. 일입'!$D162),0)))</x:f>
        <x:v/>
      </x:c>
      <x:c r="AR162" s="87"/>
      <x:c r="AS162" s="472" t="str">
        <x:f>IF($AK162="","",SUMIFS('3. 일출(의존)'!$AB$7:$AB$1989,'3. 일출(의존)'!$AN$7:$AN$1989,$AK162))</x:f>
        <x:v/>
      </x:c>
      <x:c r="AT162" s="377" t="str">
        <x:f>IF($AK162="","",COUNTIF('3. 일출(의존)'!$AN$7:$AN$1989,$AK162))</x:f>
        <x:v/>
      </x:c>
      <x:c r="AU162" s="374" t="str">
        <x:f t="shared" ref="AU162:AU177" si="254">IF($AK162="","",IF($AA162=$AS162,"OK","@@"))</x:f>
        <x:v/>
      </x:c>
      <x:c r="AV162" s="472" t="str">
        <x:f>IF($AN162="","",IF($AO162="지역개발기금",SUMIFS('3. 일출(의존)'!$AE$8:$AE$2000,'3. 일출(의존)'!$AS$8:$AS$2000,$AN162)+SUMIFS('3. 일출(자체)'!$AE$8:$AE$2000,'3. 일출(자체)'!$AM$8:$AM$2000,$AN162),IF($AO162="지방채",SUMIFS('3. 일출(의존)'!$AD$8:$AD$2000,'3. 일출(의존)'!$AS$8:$AS$2000,$AN162)+SUMIFS('3. 일출(자체)'!$AD$8:$AD$2000,'3. 일출(자체)'!$AM$8:$AM$2000,$AN162),0)))</x:f>
        <x:v/>
      </x:c>
      <x:c r="AW162" s="377" t="str">
        <x:f>IF($AN162="","",COUNTIF('3. 일출(의존)'!$AS$8:$AS$2000,$AN162)+COUNTIF('3. 일출(자체)'!$AM$8:$AM$2000,$AN162))</x:f>
        <x:v/>
      </x:c>
      <x:c r="AX162" s="374" t="str">
        <x:f t="shared" ref="AX162:AX177" si="255">IF($AN162="","",IF($AO162="자체","",IF($AO162="지방채",IF($AC162=$AV162,"OK","@@"),IF($AO162="지역개발기금",IF($AD162=$AV162,"OK","@@"),"@@"))))</x:f>
        <x:v/>
      </x:c>
      <x:c r="AY162" s="91"/>
      <x:c r="AZ162" s="472" t="str">
        <x:f>IF($AK162="","",SUMIFS('3. 일출(의존)'!$AH$8:$AH$1989,'3. 일출(의존)'!$AN$8:$AN$1989,$AK162))</x:f>
        <x:v/>
      </x:c>
      <x:c r="BA162" s="377" t="str">
        <x:f>IF($AK162="","",COUNTIF('3. 일출(의존)'!$AN$7:$AN$1989,$AK162))</x:f>
        <x:v/>
      </x:c>
      <x:c r="BB162" s="374" t="str">
        <x:f t="shared" ref="BB162:BB177" si="256">IF($AK162="","",IF($AF162=$AZ162,"OK","@@"))</x:f>
        <x:v/>
      </x:c>
      <x:c r="BC162" s="472" t="str">
        <x:f>IF($AN162="","",IF($AO162="지역개발기금",SUMIFS('3. 일출(의존)'!$AK$8:$AK$2000,'3. 일출(의존)'!$AS$8:$AS$2000,$AN162)+SUMIFS('3. 일출(자체)'!$AJ$8:$AJ$2000,'3. 일출(자체)'!$AM$8:$AM$2000,$AN162),IF($AO162="지방채",SUMIFS('3. 일출(의존)'!$AJ$8:$AJ$2000,'3. 일출(의존)'!$AS$8:$AS$2000,$AN162)+SUMIFS('3. 일출(자체)'!$AI$8:$AI$2000,'3. 일출(자체)'!$AM$8:$AM$2000,$AN162),0)))</x:f>
        <x:v/>
      </x:c>
      <x:c r="BD162" s="377" t="str">
        <x:f>IF($AN162="","",COUNTIF('3. 일출(의존)'!$AS$8:$AS$2000,$AN162)+COUNTIF('3. 일출(자체)'!$AM$8:$AM$2000,$AN162))</x:f>
        <x:v/>
      </x:c>
      <x:c r="BE162" s="374" t="str">
        <x:f t="shared" ref="BE162:BE177" si="257">IF($AN162="","",IF($AO162="자체","",IF($AO162="지방채",IF($AH162=$BC162,"OK","@@"),IF($AO162="지역개발기금",IF($AI162=$BC162,"OK","@@"),"@@"))))</x:f>
        <x:v/>
      </x:c>
    </x:row>
    <x:row r="163" spans="1:57" s="20" customFormat="1" ht="80.099999999999994" customHeight="1">
      <x:c r="A163" s="155" t="str">
        <x:f>IF(D163="","",COUNTA($C$8:C163)-COUNTBLANK($C$8:C163)+10)</x:f>
        <x:v/>
      </x:c>
      <x:c r="B163" s="156" t="str">
        <x: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x:f>
        <x:v/>
      </x:c>
      <x:c r="C163" s="156" t="str">
        <x:f>IF(D163="","",IF(OR(D163="교육지원과",D163="총무과",D163="인사과"),"직접입력",VLOOKUP(D163,구분표!$A$3:$C$258,3,)))</x:f>
        <x:v/>
      </x:c>
      <x:c r="D163" s="219"/>
      <x:c r="E163" s="213"/>
      <x:c r="F163" s="388" t="str">
        <x:f t="shared" ref="F163:G177" si="258">IF($E163="","",IF($E163="2추","직접입력","-"))</x:f>
        <x:v/>
      </x:c>
      <x:c r="G163" s="388" t="str">
        <x:f t="shared" si="258"/>
        <x:v/>
      </x:c>
      <x:c r="H163" s="213"/>
      <x:c r="I163" s="156" t="str">
        <x:f>IF(H163="","",VLOOKUP($H163,구분표!$O$3:$P$168,2,FALSE))</x:f>
        <x:v/>
      </x:c>
      <x:c r="J163" s="215"/>
      <x:c r="K163" s="459" t="str">
        <x:f t="shared" ref="K163:K177" si="259">IF($E163="","",IF(OR($E163="2추",$E163="1추",$E163="본예산"),"금액입력","-"))</x:f>
        <x:v/>
      </x:c>
      <x:c r="L163" s="459" t="str">
        <x:f t="shared" ref="L163:L177" si="260">IF($E163="","",IF($E163="2추","금액입력","-"))</x:f>
        <x:v/>
      </x:c>
      <x:c r="M163" s="461" t="str">
        <x:f t="shared" si="239"/>
        <x:v/>
      </x:c>
      <x:c r="N163" s="460"/>
      <x:c r="O163" s="461">
        <x:f t="shared" si="240"/>
        <x:v>0</x:v>
      </x:c>
      <x:c r="P163" s="462"/>
      <x:c r="Q163" s="463">
        <x:f t="shared" si="241"/>
        <x:v>0</x:v>
      </x:c>
      <x:c r="R163" s="162" t="str">
        <x:f t="shared" si="242"/>
        <x:v>X</x:v>
      </x:c>
      <x:c r="S163" s="216"/>
      <x:c r="T163" s="327"/>
      <x:c r="U163" s="217"/>
      <x:c r="V163" s="203"/>
      <x:c r="W163" s="217"/>
      <x:c r="X163" s="217"/>
      <x:c r="Y163" s="162" t="str">
        <x:f t="shared" si="243"/>
        <x:v/>
      </x:c>
      <x:c r="Z163" s="45"/>
      <x:c r="AA163" s="471" t="str">
        <x:f t="shared" si="244"/>
        <x:v/>
      </x:c>
      <x:c r="AB163" s="471" t="str">
        <x:f t="shared" si="245"/>
        <x:v/>
      </x:c>
      <x:c r="AC163" s="471" t="str">
        <x:f t="shared" si="246"/>
        <x:v/>
      </x:c>
      <x:c r="AD163" s="471" t="str">
        <x:f t="shared" si="247"/>
        <x:v/>
      </x:c>
      <x:c r="AE163" s="46"/>
      <x:c r="AF163" s="471" t="str">
        <x:f t="shared" si="248"/>
        <x:v/>
      </x:c>
      <x:c r="AG163" s="471" t="str">
        <x:f t="shared" si="249"/>
        <x:v/>
      </x:c>
      <x:c r="AH163" s="471" t="str">
        <x:f t="shared" si="250"/>
        <x:v/>
      </x:c>
      <x:c r="AI163" s="471" t="str">
        <x:f t="shared" si="251"/>
        <x:v/>
      </x:c>
      <x:c r="AJ163" s="87"/>
      <x:c r="AK163" s="374" t="str">
        <x:f>IF($AQ163="","",IF(OR($AL163="",$AL163="도비"),"",CONCATENATE($AQ163,"-",COUNTIF($AQ$8:$AQ163,$AQ163))))</x:f>
        <x:v/>
      </x:c>
      <x:c r="AL163" s="374" t="str">
        <x:f t="shared" si="252"/>
        <x:v/>
      </x:c>
      <x:c r="AM163" s="87"/>
      <x:c r="AN163" s="375" t="str">
        <x:f>IF($AQ163="","",IF(OR($AO163="",$AO163="국비",$AO163="자체"),"",CONCATENATE($AQ163,"-",$AO163,"-",COUNTIF($AQ$8:$AQ163,$AQ163))))</x:f>
        <x:v/>
      </x:c>
      <x:c r="AO163" s="375" t="str">
        <x:f t="shared" si="253"/>
        <x:v/>
      </x:c>
      <x:c r="AP163" s="87"/>
      <x:c r="AQ163" s="374" t="str">
        <x:f t="array" ref="AQ163:AQ163">IF(OR($D163="",$C163="직접입력",$B163="직접입력"),"",INDEX(구분표!$I$2:$I$337,MATCH(1,(구분표!$G$2:$G$337='3. 일입'!$B163)*(구분표!$E$2:$E$337='3. 일입'!$C163)*(구분표!$F$2:$F$337='3. 일입'!$D163),0)))</x:f>
        <x:v/>
      </x:c>
      <x:c r="AR163" s="87"/>
      <x:c r="AS163" s="472" t="str">
        <x:f>IF($AK163="","",SUMIFS('3. 일출(의존)'!$AB$7:$AB$1989,'3. 일출(의존)'!$AN$7:$AN$1989,$AK163))</x:f>
        <x:v/>
      </x:c>
      <x:c r="AT163" s="377" t="str">
        <x:f>IF($AK163="","",COUNTIF('3. 일출(의존)'!$AN$7:$AN$1989,$AK163))</x:f>
        <x:v/>
      </x:c>
      <x:c r="AU163" s="374" t="str">
        <x:f t="shared" si="254"/>
        <x:v/>
      </x:c>
      <x:c r="AV163" s="472" t="str">
        <x:f>IF($AN163="","",IF($AO163="지역개발기금",SUMIFS('3. 일출(의존)'!$AE$8:$AE$2000,'3. 일출(의존)'!$AS$8:$AS$2000,$AN163)+SUMIFS('3. 일출(자체)'!$AE$8:$AE$2000,'3. 일출(자체)'!$AM$8:$AM$2000,$AN163),IF($AO163="지방채",SUMIFS('3. 일출(의존)'!$AD$8:$AD$2000,'3. 일출(의존)'!$AS$8:$AS$2000,$AN163)+SUMIFS('3. 일출(자체)'!$AD$8:$AD$2000,'3. 일출(자체)'!$AM$8:$AM$2000,$AN163),0)))</x:f>
        <x:v/>
      </x:c>
      <x:c r="AW163" s="377" t="str">
        <x:f>IF($AN163="","",COUNTIF('3. 일출(의존)'!$AS$8:$AS$2000,$AN163)+COUNTIF('3. 일출(자체)'!$AM$8:$AM$2000,$AN163))</x:f>
        <x:v/>
      </x:c>
      <x:c r="AX163" s="374" t="str">
        <x:f t="shared" si="255"/>
        <x:v/>
      </x:c>
      <x:c r="AY163" s="91"/>
      <x:c r="AZ163" s="472" t="str">
        <x:f>IF($AK163="","",SUMIFS('3. 일출(의존)'!$AH$8:$AH$1989,'3. 일출(의존)'!$AN$8:$AN$1989,$AK163))</x:f>
        <x:v/>
      </x:c>
      <x:c r="BA163" s="377" t="str">
        <x:f>IF($AK163="","",COUNTIF('3. 일출(의존)'!$AN$7:$AN$1989,$AK163))</x:f>
        <x:v/>
      </x:c>
      <x:c r="BB163" s="374" t="str">
        <x:f t="shared" si="256"/>
        <x:v/>
      </x:c>
      <x:c r="BC163" s="472" t="str">
        <x:f>IF($AN163="","",IF($AO163="지역개발기금",SUMIFS('3. 일출(의존)'!$AK$8:$AK$2000,'3. 일출(의존)'!$AS$8:$AS$2000,$AN163)+SUMIFS('3. 일출(자체)'!$AJ$8:$AJ$2000,'3. 일출(자체)'!$AM$8:$AM$2000,$AN163),IF($AO163="지방채",SUMIFS('3. 일출(의존)'!$AJ$8:$AJ$2000,'3. 일출(의존)'!$AS$8:$AS$2000,$AN163)+SUMIFS('3. 일출(자체)'!$AI$8:$AI$2000,'3. 일출(자체)'!$AM$8:$AM$2000,$AN163),0)))</x:f>
        <x:v/>
      </x:c>
      <x:c r="BD163" s="377" t="str">
        <x:f>IF($AN163="","",COUNTIF('3. 일출(의존)'!$AS$8:$AS$2000,$AN163)+COUNTIF('3. 일출(자체)'!$AM$8:$AM$2000,$AN163))</x:f>
        <x:v/>
      </x:c>
      <x:c r="BE163" s="374" t="str">
        <x:f t="shared" si="257"/>
        <x:v/>
      </x:c>
    </x:row>
    <x:row r="164" spans="1:57" s="20" customFormat="1" ht="80.099999999999994" customHeight="1">
      <x:c r="A164" s="155" t="str">
        <x:f>IF(D164="","",COUNTA($C$8:C164)-COUNTBLANK($C$8:C164)+10)</x:f>
        <x:v/>
      </x:c>
      <x:c r="B164" s="156" t="str">
        <x: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x:f>
        <x:v/>
      </x:c>
      <x:c r="C164" s="156" t="str">
        <x:f>IF(D164="","",IF(OR(D164="교육지원과",D164="총무과",D164="인사과"),"직접입력",VLOOKUP(D164,구분표!$A$3:$C$258,3,)))</x:f>
        <x:v/>
      </x:c>
      <x:c r="D164" s="219"/>
      <x:c r="E164" s="213"/>
      <x:c r="F164" s="388" t="str">
        <x:f t="shared" si="258"/>
        <x:v/>
      </x:c>
      <x:c r="G164" s="388" t="str">
        <x:f t="shared" si="258"/>
        <x:v/>
      </x:c>
      <x:c r="H164" s="213"/>
      <x:c r="I164" s="156" t="str">
        <x:f>IF(H164="","",VLOOKUP($H164,구분표!$O$3:$P$168,2,FALSE))</x:f>
        <x:v/>
      </x:c>
      <x:c r="J164" s="215"/>
      <x:c r="K164" s="459" t="str">
        <x:f t="shared" si="259"/>
        <x:v/>
      </x:c>
      <x:c r="L164" s="459" t="str">
        <x:f t="shared" si="260"/>
        <x:v/>
      </x:c>
      <x:c r="M164" s="461" t="str">
        <x:f t="shared" si="239"/>
        <x:v/>
      </x:c>
      <x:c r="N164" s="460"/>
      <x:c r="O164" s="461">
        <x:f t="shared" si="240"/>
        <x:v>0</x:v>
      </x:c>
      <x:c r="P164" s="462"/>
      <x:c r="Q164" s="463">
        <x:f t="shared" si="241"/>
        <x:v>0</x:v>
      </x:c>
      <x:c r="R164" s="162" t="str">
        <x:f t="shared" si="242"/>
        <x:v>X</x:v>
      </x:c>
      <x:c r="S164" s="216"/>
      <x:c r="T164" s="327"/>
      <x:c r="U164" s="217"/>
      <x:c r="V164" s="203"/>
      <x:c r="W164" s="217"/>
      <x:c r="X164" s="217"/>
      <x:c r="Y164" s="162" t="str">
        <x:f t="shared" si="243"/>
        <x:v/>
      </x:c>
      <x:c r="Z164" s="45"/>
      <x:c r="AA164" s="471" t="str">
        <x:f t="shared" si="244"/>
        <x:v/>
      </x:c>
      <x:c r="AB164" s="471" t="str">
        <x:f t="shared" si="245"/>
        <x:v/>
      </x:c>
      <x:c r="AC164" s="471" t="str">
        <x:f t="shared" si="246"/>
        <x:v/>
      </x:c>
      <x:c r="AD164" s="471" t="str">
        <x:f t="shared" si="247"/>
        <x:v/>
      </x:c>
      <x:c r="AE164" s="46"/>
      <x:c r="AF164" s="471" t="str">
        <x:f t="shared" si="248"/>
        <x:v/>
      </x:c>
      <x:c r="AG164" s="471" t="str">
        <x:f t="shared" si="249"/>
        <x:v/>
      </x:c>
      <x:c r="AH164" s="471" t="str">
        <x:f t="shared" si="250"/>
        <x:v/>
      </x:c>
      <x:c r="AI164" s="471" t="str">
        <x:f t="shared" si="251"/>
        <x:v/>
      </x:c>
      <x:c r="AJ164" s="87"/>
      <x:c r="AK164" s="374" t="str">
        <x:f>IF($AQ164="","",IF(OR($AL164="",$AL164="도비"),"",CONCATENATE($AQ164,"-",COUNTIF($AQ$8:$AQ164,$AQ164))))</x:f>
        <x:v/>
      </x:c>
      <x:c r="AL164" s="374" t="str">
        <x:f t="shared" si="252"/>
        <x:v/>
      </x:c>
      <x:c r="AM164" s="87"/>
      <x:c r="AN164" s="375" t="str">
        <x:f>IF($AQ164="","",IF(OR($AO164="",$AO164="국비",$AO164="자체"),"",CONCATENATE($AQ164,"-",$AO164,"-",COUNTIF($AQ$8:$AQ164,$AQ164))))</x:f>
        <x:v/>
      </x:c>
      <x:c r="AO164" s="375" t="str">
        <x:f t="shared" si="253"/>
        <x:v/>
      </x:c>
      <x:c r="AP164" s="87"/>
      <x:c r="AQ164" s="374" t="str">
        <x:f t="array" ref="AQ164:AQ164">IF(OR($D164="",$C164="직접입력",$B164="직접입력"),"",INDEX(구분표!$I$2:$I$337,MATCH(1,(구분표!$G$2:$G$337='3. 일입'!$B164)*(구분표!$E$2:$E$337='3. 일입'!$C164)*(구분표!$F$2:$F$337='3. 일입'!$D164),0)))</x:f>
        <x:v/>
      </x:c>
      <x:c r="AR164" s="87"/>
      <x:c r="AS164" s="472" t="str">
        <x:f>IF($AK164="","",SUMIFS('3. 일출(의존)'!$AB$7:$AB$1989,'3. 일출(의존)'!$AN$7:$AN$1989,$AK164))</x:f>
        <x:v/>
      </x:c>
      <x:c r="AT164" s="377" t="str">
        <x:f>IF($AK164="","",COUNTIF('3. 일출(의존)'!$AN$7:$AN$1989,$AK164))</x:f>
        <x:v/>
      </x:c>
      <x:c r="AU164" s="374" t="str">
        <x:f t="shared" si="254"/>
        <x:v/>
      </x:c>
      <x:c r="AV164" s="472" t="str">
        <x:f>IF($AN164="","",IF($AO164="지역개발기금",SUMIFS('3. 일출(의존)'!$AE$8:$AE$2000,'3. 일출(의존)'!$AS$8:$AS$2000,$AN164)+SUMIFS('3. 일출(자체)'!$AE$8:$AE$2000,'3. 일출(자체)'!$AM$8:$AM$2000,$AN164),IF($AO164="지방채",SUMIFS('3. 일출(의존)'!$AD$8:$AD$2000,'3. 일출(의존)'!$AS$8:$AS$2000,$AN164)+SUMIFS('3. 일출(자체)'!$AD$8:$AD$2000,'3. 일출(자체)'!$AM$8:$AM$2000,$AN164),0)))</x:f>
        <x:v/>
      </x:c>
      <x:c r="AW164" s="377" t="str">
        <x:f>IF($AN164="","",COUNTIF('3. 일출(의존)'!$AS$8:$AS$2000,$AN164)+COUNTIF('3. 일출(자체)'!$AM$8:$AM$2000,$AN164))</x:f>
        <x:v/>
      </x:c>
      <x:c r="AX164" s="374" t="str">
        <x:f t="shared" si="255"/>
        <x:v/>
      </x:c>
      <x:c r="AY164" s="91"/>
      <x:c r="AZ164" s="472" t="str">
        <x:f>IF($AK164="","",SUMIFS('3. 일출(의존)'!$AH$8:$AH$1989,'3. 일출(의존)'!$AN$8:$AN$1989,$AK164))</x:f>
        <x:v/>
      </x:c>
      <x:c r="BA164" s="377" t="str">
        <x:f>IF($AK164="","",COUNTIF('3. 일출(의존)'!$AN$7:$AN$1989,$AK164))</x:f>
        <x:v/>
      </x:c>
      <x:c r="BB164" s="374" t="str">
        <x:f t="shared" si="256"/>
        <x:v/>
      </x:c>
      <x:c r="BC164" s="472" t="str">
        <x:f>IF($AN164="","",IF($AO164="지역개발기금",SUMIFS('3. 일출(의존)'!$AK$8:$AK$2000,'3. 일출(의존)'!$AS$8:$AS$2000,$AN164)+SUMIFS('3. 일출(자체)'!$AJ$8:$AJ$2000,'3. 일출(자체)'!$AM$8:$AM$2000,$AN164),IF($AO164="지방채",SUMIFS('3. 일출(의존)'!$AJ$8:$AJ$2000,'3. 일출(의존)'!$AS$8:$AS$2000,$AN164)+SUMIFS('3. 일출(자체)'!$AI$8:$AI$2000,'3. 일출(자체)'!$AM$8:$AM$2000,$AN164),0)))</x:f>
        <x:v/>
      </x:c>
      <x:c r="BD164" s="377" t="str">
        <x:f>IF($AN164="","",COUNTIF('3. 일출(의존)'!$AS$8:$AS$2000,$AN164)+COUNTIF('3. 일출(자체)'!$AM$8:$AM$2000,$AN164))</x:f>
        <x:v/>
      </x:c>
      <x:c r="BE164" s="374" t="str">
        <x:f t="shared" si="257"/>
        <x:v/>
      </x:c>
    </x:row>
    <x:row r="165" spans="1:57" s="20" customFormat="1" ht="80.099999999999994" customHeight="1">
      <x:c r="A165" s="155" t="str">
        <x:f>IF(D165="","",COUNTA($C$8:C165)-COUNTBLANK($C$8:C165)+10)</x:f>
        <x:v/>
      </x:c>
      <x:c r="B165" s="156" t="str">
        <x: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x:f>
        <x:v/>
      </x:c>
      <x:c r="C165" s="156" t="str">
        <x:f>IF(D165="","",IF(OR(D165="교육지원과",D165="총무과",D165="인사과"),"직접입력",VLOOKUP(D165,구분표!$A$3:$C$258,3,)))</x:f>
        <x:v/>
      </x:c>
      <x:c r="D165" s="219"/>
      <x:c r="E165" s="213"/>
      <x:c r="F165" s="388" t="str">
        <x:f t="shared" si="258"/>
        <x:v/>
      </x:c>
      <x:c r="G165" s="388" t="str">
        <x:f t="shared" si="258"/>
        <x:v/>
      </x:c>
      <x:c r="H165" s="213"/>
      <x:c r="I165" s="156" t="str">
        <x:f>IF(H165="","",VLOOKUP($H165,구분표!$O$3:$P$168,2,FALSE))</x:f>
        <x:v/>
      </x:c>
      <x:c r="J165" s="215"/>
      <x:c r="K165" s="459" t="str">
        <x:f t="shared" si="259"/>
        <x:v/>
      </x:c>
      <x:c r="L165" s="459" t="str">
        <x:f t="shared" si="260"/>
        <x:v/>
      </x:c>
      <x:c r="M165" s="461" t="str">
        <x:f t="shared" si="239"/>
        <x:v/>
      </x:c>
      <x:c r="N165" s="460"/>
      <x:c r="O165" s="461">
        <x:f t="shared" si="240"/>
        <x:v>0</x:v>
      </x:c>
      <x:c r="P165" s="462"/>
      <x:c r="Q165" s="463">
        <x:f t="shared" si="241"/>
        <x:v>0</x:v>
      </x:c>
      <x:c r="R165" s="162" t="str">
        <x:f t="shared" si="242"/>
        <x:v>X</x:v>
      </x:c>
      <x:c r="S165" s="216"/>
      <x:c r="T165" s="327"/>
      <x:c r="U165" s="217"/>
      <x:c r="V165" s="203"/>
      <x:c r="W165" s="217"/>
      <x:c r="X165" s="217"/>
      <x:c r="Y165" s="162" t="str">
        <x:f t="shared" si="243"/>
        <x:v/>
      </x:c>
      <x:c r="Z165" s="45"/>
      <x:c r="AA165" s="471" t="str">
        <x:f t="shared" si="244"/>
        <x:v/>
      </x:c>
      <x:c r="AB165" s="471" t="str">
        <x:f t="shared" si="245"/>
        <x:v/>
      </x:c>
      <x:c r="AC165" s="471" t="str">
        <x:f t="shared" si="246"/>
        <x:v/>
      </x:c>
      <x:c r="AD165" s="471" t="str">
        <x:f t="shared" si="247"/>
        <x:v/>
      </x:c>
      <x:c r="AE165" s="46"/>
      <x:c r="AF165" s="471" t="str">
        <x:f t="shared" si="248"/>
        <x:v/>
      </x:c>
      <x:c r="AG165" s="471" t="str">
        <x:f t="shared" si="249"/>
        <x:v/>
      </x:c>
      <x:c r="AH165" s="471" t="str">
        <x:f t="shared" si="250"/>
        <x:v/>
      </x:c>
      <x:c r="AI165" s="471" t="str">
        <x:f t="shared" si="251"/>
        <x:v/>
      </x:c>
      <x:c r="AJ165" s="87"/>
      <x:c r="AK165" s="374" t="str">
        <x:f>IF($AQ165="","",IF(OR($AL165="",$AL165="도비"),"",CONCATENATE($AQ165,"-",COUNTIF($AQ$8:$AQ165,$AQ165))))</x:f>
        <x:v/>
      </x:c>
      <x:c r="AL165" s="374" t="str">
        <x:f t="shared" si="252"/>
        <x:v/>
      </x:c>
      <x:c r="AM165" s="87"/>
      <x:c r="AN165" s="375" t="str">
        <x:f>IF($AQ165="","",IF(OR($AO165="",$AO165="국비",$AO165="자체"),"",CONCATENATE($AQ165,"-",$AO165,"-",COUNTIF($AQ$8:$AQ165,$AQ165))))</x:f>
        <x:v/>
      </x:c>
      <x:c r="AO165" s="375" t="str">
        <x:f t="shared" si="253"/>
        <x:v/>
      </x:c>
      <x:c r="AP165" s="87"/>
      <x:c r="AQ165" s="374" t="str">
        <x:f t="array" ref="AQ165:AQ165">IF(OR($D165="",$C165="직접입력",$B165="직접입력"),"",INDEX(구분표!$I$2:$I$337,MATCH(1,(구분표!$G$2:$G$337='3. 일입'!$B165)*(구분표!$E$2:$E$337='3. 일입'!$C165)*(구분표!$F$2:$F$337='3. 일입'!$D165),0)))</x:f>
        <x:v/>
      </x:c>
      <x:c r="AR165" s="87"/>
      <x:c r="AS165" s="472" t="str">
        <x:f>IF($AK165="","",SUMIFS('3. 일출(의존)'!$AB$7:$AB$1989,'3. 일출(의존)'!$AN$7:$AN$1989,$AK165))</x:f>
        <x:v/>
      </x:c>
      <x:c r="AT165" s="377" t="str">
        <x:f>IF($AK165="","",COUNTIF('3. 일출(의존)'!$AN$7:$AN$1989,$AK165))</x:f>
        <x:v/>
      </x:c>
      <x:c r="AU165" s="374" t="str">
        <x:f t="shared" si="254"/>
        <x:v/>
      </x:c>
      <x:c r="AV165" s="472" t="str">
        <x:f>IF($AN165="","",IF($AO165="지역개발기금",SUMIFS('3. 일출(의존)'!$AE$8:$AE$2000,'3. 일출(의존)'!$AS$8:$AS$2000,$AN165)+SUMIFS('3. 일출(자체)'!$AE$8:$AE$2000,'3. 일출(자체)'!$AM$8:$AM$2000,$AN165),IF($AO165="지방채",SUMIFS('3. 일출(의존)'!$AD$8:$AD$2000,'3. 일출(의존)'!$AS$8:$AS$2000,$AN165)+SUMIFS('3. 일출(자체)'!$AD$8:$AD$2000,'3. 일출(자체)'!$AM$8:$AM$2000,$AN165),0)))</x:f>
        <x:v/>
      </x:c>
      <x:c r="AW165" s="377" t="str">
        <x:f>IF($AN165="","",COUNTIF('3. 일출(의존)'!$AS$8:$AS$2000,$AN165)+COUNTIF('3. 일출(자체)'!$AM$8:$AM$2000,$AN165))</x:f>
        <x:v/>
      </x:c>
      <x:c r="AX165" s="374" t="str">
        <x:f t="shared" si="255"/>
        <x:v/>
      </x:c>
      <x:c r="AY165" s="91"/>
      <x:c r="AZ165" s="472" t="str">
        <x:f>IF($AK165="","",SUMIFS('3. 일출(의존)'!$AH$8:$AH$1989,'3. 일출(의존)'!$AN$8:$AN$1989,$AK165))</x:f>
        <x:v/>
      </x:c>
      <x:c r="BA165" s="377" t="str">
        <x:f>IF($AK165="","",COUNTIF('3. 일출(의존)'!$AN$7:$AN$1989,$AK165))</x:f>
        <x:v/>
      </x:c>
      <x:c r="BB165" s="374" t="str">
        <x:f t="shared" si="256"/>
        <x:v/>
      </x:c>
      <x:c r="BC165" s="472" t="str">
        <x:f>IF($AN165="","",IF($AO165="지역개발기금",SUMIFS('3. 일출(의존)'!$AK$8:$AK$2000,'3. 일출(의존)'!$AS$8:$AS$2000,$AN165)+SUMIFS('3. 일출(자체)'!$AJ$8:$AJ$2000,'3. 일출(자체)'!$AM$8:$AM$2000,$AN165),IF($AO165="지방채",SUMIFS('3. 일출(의존)'!$AJ$8:$AJ$2000,'3. 일출(의존)'!$AS$8:$AS$2000,$AN165)+SUMIFS('3. 일출(자체)'!$AI$8:$AI$2000,'3. 일출(자체)'!$AM$8:$AM$2000,$AN165),0)))</x:f>
        <x:v/>
      </x:c>
      <x:c r="BD165" s="377" t="str">
        <x:f>IF($AN165="","",COUNTIF('3. 일출(의존)'!$AS$8:$AS$2000,$AN165)+COUNTIF('3. 일출(자체)'!$AM$8:$AM$2000,$AN165))</x:f>
        <x:v/>
      </x:c>
      <x:c r="BE165" s="374" t="str">
        <x:f t="shared" si="257"/>
        <x:v/>
      </x:c>
    </x:row>
    <x:row r="166" spans="1:57" s="20" customFormat="1" ht="80.099999999999994" customHeight="1">
      <x:c r="A166" s="155" t="str">
        <x:f>IF(D166="","",COUNTA($C$8:C166)-COUNTBLANK($C$8:C166)+10)</x:f>
        <x:v/>
      </x:c>
      <x:c r="B166" s="156" t="str">
        <x: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x:f>
        <x:v/>
      </x:c>
      <x:c r="C166" s="156" t="str">
        <x:f>IF(D166="","",IF(OR(D166="교육지원과",D166="총무과",D166="인사과"),"직접입력",VLOOKUP(D166,구분표!$A$3:$C$258,3,)))</x:f>
        <x:v/>
      </x:c>
      <x:c r="D166" s="219"/>
      <x:c r="E166" s="213"/>
      <x:c r="F166" s="388" t="str">
        <x:f t="shared" si="258"/>
        <x:v/>
      </x:c>
      <x:c r="G166" s="388" t="str">
        <x:f t="shared" si="258"/>
        <x:v/>
      </x:c>
      <x:c r="H166" s="213"/>
      <x:c r="I166" s="156" t="str">
        <x:f>IF(H166="","",VLOOKUP($H166,구분표!$O$3:$P$168,2,FALSE))</x:f>
        <x:v/>
      </x:c>
      <x:c r="J166" s="215"/>
      <x:c r="K166" s="459" t="str">
        <x:f t="shared" si="259"/>
        <x:v/>
      </x:c>
      <x:c r="L166" s="459" t="str">
        <x:f t="shared" si="260"/>
        <x:v/>
      </x:c>
      <x:c r="M166" s="461" t="str">
        <x:f t="shared" si="239"/>
        <x:v/>
      </x:c>
      <x:c r="N166" s="460"/>
      <x:c r="O166" s="461">
        <x:f t="shared" si="240"/>
        <x:v>0</x:v>
      </x:c>
      <x:c r="P166" s="462"/>
      <x:c r="Q166" s="463">
        <x:f t="shared" si="241"/>
        <x:v>0</x:v>
      </x:c>
      <x:c r="R166" s="162" t="str">
        <x:f t="shared" si="242"/>
        <x:v>X</x:v>
      </x:c>
      <x:c r="S166" s="216"/>
      <x:c r="T166" s="327"/>
      <x:c r="U166" s="217"/>
      <x:c r="V166" s="203"/>
      <x:c r="W166" s="217"/>
      <x:c r="X166" s="217"/>
      <x:c r="Y166" s="162" t="str">
        <x:f t="shared" si="243"/>
        <x:v/>
      </x:c>
      <x:c r="Z166" s="45"/>
      <x:c r="AA166" s="471" t="str">
        <x:f t="shared" si="244"/>
        <x:v/>
      </x:c>
      <x:c r="AB166" s="471" t="str">
        <x:f t="shared" si="245"/>
        <x:v/>
      </x:c>
      <x:c r="AC166" s="471" t="str">
        <x:f t="shared" si="246"/>
        <x:v/>
      </x:c>
      <x:c r="AD166" s="471" t="str">
        <x:f t="shared" si="247"/>
        <x:v/>
      </x:c>
      <x:c r="AE166" s="46"/>
      <x:c r="AF166" s="471" t="str">
        <x:f t="shared" si="248"/>
        <x:v/>
      </x:c>
      <x:c r="AG166" s="471" t="str">
        <x:f t="shared" si="249"/>
        <x:v/>
      </x:c>
      <x:c r="AH166" s="471" t="str">
        <x:f t="shared" si="250"/>
        <x:v/>
      </x:c>
      <x:c r="AI166" s="471" t="str">
        <x:f t="shared" si="251"/>
        <x:v/>
      </x:c>
      <x:c r="AJ166" s="87"/>
      <x:c r="AK166" s="374" t="str">
        <x:f>IF($AQ166="","",IF(OR($AL166="",$AL166="도비"),"",CONCATENATE($AQ166,"-",COUNTIF($AQ$8:$AQ166,$AQ166))))</x:f>
        <x:v/>
      </x:c>
      <x:c r="AL166" s="374" t="str">
        <x:f t="shared" si="252"/>
        <x:v/>
      </x:c>
      <x:c r="AM166" s="87"/>
      <x:c r="AN166" s="375" t="str">
        <x:f>IF($AQ166="","",IF(OR($AO166="",$AO166="국비",$AO166="자체"),"",CONCATENATE($AQ166,"-",$AO166,"-",COUNTIF($AQ$8:$AQ166,$AQ166))))</x:f>
        <x:v/>
      </x:c>
      <x:c r="AO166" s="375" t="str">
        <x:f t="shared" si="253"/>
        <x:v/>
      </x:c>
      <x:c r="AP166" s="87"/>
      <x:c r="AQ166" s="374" t="str">
        <x:f t="array" ref="AQ166:AQ166">IF(OR($D166="",$C166="직접입력",$B166="직접입력"),"",INDEX(구분표!$I$2:$I$337,MATCH(1,(구분표!$G$2:$G$337='3. 일입'!$B166)*(구분표!$E$2:$E$337='3. 일입'!$C166)*(구분표!$F$2:$F$337='3. 일입'!$D166),0)))</x:f>
        <x:v/>
      </x:c>
      <x:c r="AR166" s="87"/>
      <x:c r="AS166" s="472" t="str">
        <x:f>IF($AK166="","",SUMIFS('3. 일출(의존)'!$AB$7:$AB$1989,'3. 일출(의존)'!$AN$7:$AN$1989,$AK166))</x:f>
        <x:v/>
      </x:c>
      <x:c r="AT166" s="377" t="str">
        <x:f>IF($AK166="","",COUNTIF('3. 일출(의존)'!$AN$7:$AN$1989,$AK166))</x:f>
        <x:v/>
      </x:c>
      <x:c r="AU166" s="374" t="str">
        <x:f t="shared" si="254"/>
        <x:v/>
      </x:c>
      <x:c r="AV166" s="472" t="str">
        <x:f>IF($AN166="","",IF($AO166="지역개발기금",SUMIFS('3. 일출(의존)'!$AE$8:$AE$2000,'3. 일출(의존)'!$AS$8:$AS$2000,$AN166)+SUMIFS('3. 일출(자체)'!$AE$8:$AE$2000,'3. 일출(자체)'!$AM$8:$AM$2000,$AN166),IF($AO166="지방채",SUMIFS('3. 일출(의존)'!$AD$8:$AD$2000,'3. 일출(의존)'!$AS$8:$AS$2000,$AN166)+SUMIFS('3. 일출(자체)'!$AD$8:$AD$2000,'3. 일출(자체)'!$AM$8:$AM$2000,$AN166),0)))</x:f>
        <x:v/>
      </x:c>
      <x:c r="AW166" s="377" t="str">
        <x:f>IF($AN166="","",COUNTIF('3. 일출(의존)'!$AS$8:$AS$2000,$AN166)+COUNTIF('3. 일출(자체)'!$AM$8:$AM$2000,$AN166))</x:f>
        <x:v/>
      </x:c>
      <x:c r="AX166" s="374" t="str">
        <x:f t="shared" si="255"/>
        <x:v/>
      </x:c>
      <x:c r="AY166" s="91"/>
      <x:c r="AZ166" s="472" t="str">
        <x:f>IF($AK166="","",SUMIFS('3. 일출(의존)'!$AH$8:$AH$1989,'3. 일출(의존)'!$AN$8:$AN$1989,$AK166))</x:f>
        <x:v/>
      </x:c>
      <x:c r="BA166" s="377" t="str">
        <x:f>IF($AK166="","",COUNTIF('3. 일출(의존)'!$AN$7:$AN$1989,$AK166))</x:f>
        <x:v/>
      </x:c>
      <x:c r="BB166" s="374" t="str">
        <x:f t="shared" si="256"/>
        <x:v/>
      </x:c>
      <x:c r="BC166" s="472" t="str">
        <x:f>IF($AN166="","",IF($AO166="지역개발기금",SUMIFS('3. 일출(의존)'!$AK$8:$AK$2000,'3. 일출(의존)'!$AS$8:$AS$2000,$AN166)+SUMIFS('3. 일출(자체)'!$AJ$8:$AJ$2000,'3. 일출(자체)'!$AM$8:$AM$2000,$AN166),IF($AO166="지방채",SUMIFS('3. 일출(의존)'!$AJ$8:$AJ$2000,'3. 일출(의존)'!$AS$8:$AS$2000,$AN166)+SUMIFS('3. 일출(자체)'!$AI$8:$AI$2000,'3. 일출(자체)'!$AM$8:$AM$2000,$AN166),0)))</x:f>
        <x:v/>
      </x:c>
      <x:c r="BD166" s="377" t="str">
        <x:f>IF($AN166="","",COUNTIF('3. 일출(의존)'!$AS$8:$AS$2000,$AN166)+COUNTIF('3. 일출(자체)'!$AM$8:$AM$2000,$AN166))</x:f>
        <x:v/>
      </x:c>
      <x:c r="BE166" s="374" t="str">
        <x:f t="shared" si="257"/>
        <x:v/>
      </x:c>
    </x:row>
    <x:row r="167" spans="1:57" s="20" customFormat="1" ht="80.099999999999994" customHeight="1">
      <x:c r="A167" s="155" t="str">
        <x:f>IF(D167="","",COUNTA($C$8:C167)-COUNTBLANK($C$8:C167)+10)</x:f>
        <x:v/>
      </x:c>
      <x:c r="B167" s="156" t="str">
        <x:f>IF(D167="","",IF(OR(C167="직접입력",D167="북부지원"),"직접입력",IF(OR(AND(D167="인사과",C167="의회사무처"),AND(D167="총무과",C167="의회사무처")),"의회운영위원회",IF(OR(C167="직접입력",D167="북부지원"),"직접입력",IF(OR(AND(D167="인사과",C167="자치행정국"),AND(D167="총무과",C167="자치행정국")),"안전행정위원회",VLOOKUP(D167,구분표!$A$3:$C$258,2,))))))</x:f>
        <x:v/>
      </x:c>
      <x:c r="C167" s="156" t="str">
        <x:f>IF(D167="","",IF(OR(D167="교육지원과",D167="총무과",D167="인사과"),"직접입력",VLOOKUP(D167,구분표!$A$3:$C$258,3,)))</x:f>
        <x:v/>
      </x:c>
      <x:c r="D167" s="219"/>
      <x:c r="E167" s="213"/>
      <x:c r="F167" s="388" t="str">
        <x:f t="shared" si="258"/>
        <x:v/>
      </x:c>
      <x:c r="G167" s="388" t="str">
        <x:f t="shared" si="258"/>
        <x:v/>
      </x:c>
      <x:c r="H167" s="213"/>
      <x:c r="I167" s="156" t="str">
        <x:f>IF(H167="","",VLOOKUP($H167,구분표!$O$3:$P$168,2,FALSE))</x:f>
        <x:v/>
      </x:c>
      <x:c r="J167" s="215"/>
      <x:c r="K167" s="459" t="str">
        <x:f t="shared" si="259"/>
        <x:v/>
      </x:c>
      <x:c r="L167" s="459" t="str">
        <x:f t="shared" si="260"/>
        <x:v/>
      </x:c>
      <x:c r="M167" s="461" t="str">
        <x:f t="shared" si="239"/>
        <x:v/>
      </x:c>
      <x:c r="N167" s="460"/>
      <x:c r="O167" s="461">
        <x:f t="shared" si="240"/>
        <x:v>0</x:v>
      </x:c>
      <x:c r="P167" s="462"/>
      <x:c r="Q167" s="463">
        <x:f t="shared" si="241"/>
        <x:v>0</x:v>
      </x:c>
      <x:c r="R167" s="162" t="str">
        <x:f t="shared" si="242"/>
        <x:v>X</x:v>
      </x:c>
      <x:c r="S167" s="216"/>
      <x:c r="T167" s="327"/>
      <x:c r="U167" s="217"/>
      <x:c r="V167" s="203"/>
      <x:c r="W167" s="217"/>
      <x:c r="X167" s="217"/>
      <x:c r="Y167" s="162" t="str">
        <x:f t="shared" si="243"/>
        <x:v/>
      </x:c>
      <x:c r="Z167" s="45"/>
      <x:c r="AA167" s="471" t="str">
        <x:f t="shared" si="244"/>
        <x:v/>
      </x:c>
      <x:c r="AB167" s="471" t="str">
        <x:f t="shared" si="245"/>
        <x:v/>
      </x:c>
      <x:c r="AC167" s="471" t="str">
        <x:f t="shared" si="246"/>
        <x:v/>
      </x:c>
      <x:c r="AD167" s="471" t="str">
        <x:f t="shared" si="247"/>
        <x:v/>
      </x:c>
      <x:c r="AE167" s="46"/>
      <x:c r="AF167" s="471" t="str">
        <x:f t="shared" si="248"/>
        <x:v/>
      </x:c>
      <x:c r="AG167" s="471" t="str">
        <x:f t="shared" si="249"/>
        <x:v/>
      </x:c>
      <x:c r="AH167" s="471" t="str">
        <x:f t="shared" si="250"/>
        <x:v/>
      </x:c>
      <x:c r="AI167" s="471" t="str">
        <x:f t="shared" si="251"/>
        <x:v/>
      </x:c>
      <x:c r="AJ167" s="87"/>
      <x:c r="AK167" s="374" t="str">
        <x:f>IF($AQ167="","",IF(OR($AL167="",$AL167="도비"),"",CONCATENATE($AQ167,"-",COUNTIF($AQ$8:$AQ167,$AQ167))))</x:f>
        <x:v/>
      </x:c>
      <x:c r="AL167" s="374" t="str">
        <x:f t="shared" si="252"/>
        <x:v/>
      </x:c>
      <x:c r="AM167" s="87"/>
      <x:c r="AN167" s="375" t="str">
        <x:f>IF($AQ167="","",IF(OR($AO167="",$AO167="국비",$AO167="자체"),"",CONCATENATE($AQ167,"-",$AO167,"-",COUNTIF($AQ$8:$AQ167,$AQ167))))</x:f>
        <x:v/>
      </x:c>
      <x:c r="AO167" s="375" t="str">
        <x:f t="shared" si="253"/>
        <x:v/>
      </x:c>
      <x:c r="AP167" s="87"/>
      <x:c r="AQ167" s="374" t="str">
        <x:f t="array" ref="AQ167:AQ167">IF(OR($D167="",$C167="직접입력",$B167="직접입력"),"",INDEX(구분표!$I$2:$I$337,MATCH(1,(구분표!$G$2:$G$337='3. 일입'!$B167)*(구분표!$E$2:$E$337='3. 일입'!$C167)*(구분표!$F$2:$F$337='3. 일입'!$D167),0)))</x:f>
        <x:v/>
      </x:c>
      <x:c r="AR167" s="87"/>
      <x:c r="AS167" s="472" t="str">
        <x:f>IF($AK167="","",SUMIFS('3. 일출(의존)'!$AB$7:$AB$1989,'3. 일출(의존)'!$AN$7:$AN$1989,$AK167))</x:f>
        <x:v/>
      </x:c>
      <x:c r="AT167" s="377" t="str">
        <x:f>IF($AK167="","",COUNTIF('3. 일출(의존)'!$AN$7:$AN$1989,$AK167))</x:f>
        <x:v/>
      </x:c>
      <x:c r="AU167" s="374" t="str">
        <x:f t="shared" si="254"/>
        <x:v/>
      </x:c>
      <x:c r="AV167" s="472" t="str">
        <x:f>IF($AN167="","",IF($AO167="지역개발기금",SUMIFS('3. 일출(의존)'!$AE$8:$AE$2000,'3. 일출(의존)'!$AS$8:$AS$2000,$AN167)+SUMIFS('3. 일출(자체)'!$AE$8:$AE$2000,'3. 일출(자체)'!$AM$8:$AM$2000,$AN167),IF($AO167="지방채",SUMIFS('3. 일출(의존)'!$AD$8:$AD$2000,'3. 일출(의존)'!$AS$8:$AS$2000,$AN167)+SUMIFS('3. 일출(자체)'!$AD$8:$AD$2000,'3. 일출(자체)'!$AM$8:$AM$2000,$AN167),0)))</x:f>
        <x:v/>
      </x:c>
      <x:c r="AW167" s="377" t="str">
        <x:f>IF($AN167="","",COUNTIF('3. 일출(의존)'!$AS$8:$AS$2000,$AN167)+COUNTIF('3. 일출(자체)'!$AM$8:$AM$2000,$AN167))</x:f>
        <x:v/>
      </x:c>
      <x:c r="AX167" s="374" t="str">
        <x:f t="shared" si="255"/>
        <x:v/>
      </x:c>
      <x:c r="AY167" s="91"/>
      <x:c r="AZ167" s="472" t="str">
        <x:f>IF($AK167="","",SUMIFS('3. 일출(의존)'!$AH$8:$AH$1989,'3. 일출(의존)'!$AN$8:$AN$1989,$AK167))</x:f>
        <x:v/>
      </x:c>
      <x:c r="BA167" s="377" t="str">
        <x:f>IF($AK167="","",COUNTIF('3. 일출(의존)'!$AN$7:$AN$1989,$AK167))</x:f>
        <x:v/>
      </x:c>
      <x:c r="BB167" s="374" t="str">
        <x:f t="shared" si="256"/>
        <x:v/>
      </x:c>
      <x:c r="BC167" s="472" t="str">
        <x:f>IF($AN167="","",IF($AO167="지역개발기금",SUMIFS('3. 일출(의존)'!$AK$8:$AK$2000,'3. 일출(의존)'!$AS$8:$AS$2000,$AN167)+SUMIFS('3. 일출(자체)'!$AJ$8:$AJ$2000,'3. 일출(자체)'!$AM$8:$AM$2000,$AN167),IF($AO167="지방채",SUMIFS('3. 일출(의존)'!$AJ$8:$AJ$2000,'3. 일출(의존)'!$AS$8:$AS$2000,$AN167)+SUMIFS('3. 일출(자체)'!$AI$8:$AI$2000,'3. 일출(자체)'!$AM$8:$AM$2000,$AN167),0)))</x:f>
        <x:v/>
      </x:c>
      <x:c r="BD167" s="377" t="str">
        <x:f>IF($AN167="","",COUNTIF('3. 일출(의존)'!$AS$8:$AS$2000,$AN167)+COUNTIF('3. 일출(자체)'!$AM$8:$AM$2000,$AN167))</x:f>
        <x:v/>
      </x:c>
      <x:c r="BE167" s="374" t="str">
        <x:f t="shared" si="257"/>
        <x:v/>
      </x:c>
    </x:row>
    <x:row r="168" spans="1:57" s="20" customFormat="1" ht="80.099999999999994" customHeight="1">
      <x:c r="A168" s="155" t="str">
        <x:f>IF(D168="","",COUNTA($C$8:C168)-COUNTBLANK($C$8:C168)+10)</x:f>
        <x:v/>
      </x:c>
      <x:c r="B168" s="156" t="str">
        <x: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x:f>
        <x:v/>
      </x:c>
      <x:c r="C168" s="156" t="str">
        <x:f>IF(D168="","",IF(OR(D168="교육지원과",D168="총무과",D168="인사과"),"직접입력",VLOOKUP(D168,구분표!$A$3:$C$258,3,)))</x:f>
        <x:v/>
      </x:c>
      <x:c r="D168" s="219"/>
      <x:c r="E168" s="213"/>
      <x:c r="F168" s="388" t="str">
        <x:f t="shared" si="258"/>
        <x:v/>
      </x:c>
      <x:c r="G168" s="388" t="str">
        <x:f t="shared" si="258"/>
        <x:v/>
      </x:c>
      <x:c r="H168" s="213"/>
      <x:c r="I168" s="156" t="str">
        <x:f>IF(H168="","",VLOOKUP($H168,구분표!$O$3:$P$168,2,FALSE))</x:f>
        <x:v/>
      </x:c>
      <x:c r="J168" s="215"/>
      <x:c r="K168" s="459" t="str">
        <x:f t="shared" si="259"/>
        <x:v/>
      </x:c>
      <x:c r="L168" s="459" t="str">
        <x:f t="shared" si="260"/>
        <x:v/>
      </x:c>
      <x:c r="M168" s="461" t="str">
        <x:f t="shared" si="239"/>
        <x:v/>
      </x:c>
      <x:c r="N168" s="460"/>
      <x:c r="O168" s="461">
        <x:f t="shared" si="240"/>
        <x:v>0</x:v>
      </x:c>
      <x:c r="P168" s="462"/>
      <x:c r="Q168" s="463">
        <x:f t="shared" si="241"/>
        <x:v>0</x:v>
      </x:c>
      <x:c r="R168" s="162" t="str">
        <x:f t="shared" si="242"/>
        <x:v>X</x:v>
      </x:c>
      <x:c r="S168" s="216"/>
      <x:c r="T168" s="327"/>
      <x:c r="U168" s="217"/>
      <x:c r="V168" s="203"/>
      <x:c r="W168" s="217"/>
      <x:c r="X168" s="217"/>
      <x:c r="Y168" s="162" t="str">
        <x:f t="shared" si="243"/>
        <x:v/>
      </x:c>
      <x:c r="Z168" s="45"/>
      <x:c r="AA168" s="471" t="str">
        <x:f t="shared" si="244"/>
        <x:v/>
      </x:c>
      <x:c r="AB168" s="471" t="str">
        <x:f t="shared" si="245"/>
        <x:v/>
      </x:c>
      <x:c r="AC168" s="471" t="str">
        <x:f t="shared" si="246"/>
        <x:v/>
      </x:c>
      <x:c r="AD168" s="471" t="str">
        <x:f t="shared" si="247"/>
        <x:v/>
      </x:c>
      <x:c r="AE168" s="46"/>
      <x:c r="AF168" s="471" t="str">
        <x:f t="shared" si="248"/>
        <x:v/>
      </x:c>
      <x:c r="AG168" s="471" t="str">
        <x:f t="shared" si="249"/>
        <x:v/>
      </x:c>
      <x:c r="AH168" s="471" t="str">
        <x:f t="shared" si="250"/>
        <x:v/>
      </x:c>
      <x:c r="AI168" s="471" t="str">
        <x:f t="shared" si="251"/>
        <x:v/>
      </x:c>
      <x:c r="AJ168" s="87"/>
      <x:c r="AK168" s="374" t="str">
        <x:f>IF($AQ168="","",IF(OR($AL168="",$AL168="도비"),"",CONCATENATE($AQ168,"-",COUNTIF($AQ$8:$AQ168,$AQ168))))</x:f>
        <x:v/>
      </x:c>
      <x:c r="AL168" s="374" t="str">
        <x:f t="shared" si="252"/>
        <x:v/>
      </x:c>
      <x:c r="AM168" s="87"/>
      <x:c r="AN168" s="375" t="str">
        <x:f>IF($AQ168="","",IF(OR($AO168="",$AO168="국비",$AO168="자체"),"",CONCATENATE($AQ168,"-",$AO168,"-",COUNTIF($AQ$8:$AQ168,$AQ168))))</x:f>
        <x:v/>
      </x:c>
      <x:c r="AO168" s="375" t="str">
        <x:f t="shared" si="253"/>
        <x:v/>
      </x:c>
      <x:c r="AP168" s="87"/>
      <x:c r="AQ168" s="374" t="str">
        <x:f t="array" ref="AQ168:AQ168">IF(OR($D168="",$C168="직접입력",$B168="직접입력"),"",INDEX(구분표!$I$2:$I$337,MATCH(1,(구분표!$G$2:$G$337='3. 일입'!$B168)*(구분표!$E$2:$E$337='3. 일입'!$C168)*(구분표!$F$2:$F$337='3. 일입'!$D168),0)))</x:f>
        <x:v/>
      </x:c>
      <x:c r="AR168" s="87"/>
      <x:c r="AS168" s="472" t="str">
        <x:f>IF($AK168="","",SUMIFS('3. 일출(의존)'!$AB$7:$AB$1989,'3. 일출(의존)'!$AN$7:$AN$1989,$AK168))</x:f>
        <x:v/>
      </x:c>
      <x:c r="AT168" s="377" t="str">
        <x:f>IF($AK168="","",COUNTIF('3. 일출(의존)'!$AN$7:$AN$1989,$AK168))</x:f>
        <x:v/>
      </x:c>
      <x:c r="AU168" s="374" t="str">
        <x:f t="shared" si="254"/>
        <x:v/>
      </x:c>
      <x:c r="AV168" s="472" t="str">
        <x:f>IF($AN168="","",IF($AO168="지역개발기금",SUMIFS('3. 일출(의존)'!$AE$8:$AE$2000,'3. 일출(의존)'!$AS$8:$AS$2000,$AN168)+SUMIFS('3. 일출(자체)'!$AE$8:$AE$2000,'3. 일출(자체)'!$AM$8:$AM$2000,$AN168),IF($AO168="지방채",SUMIFS('3. 일출(의존)'!$AD$8:$AD$2000,'3. 일출(의존)'!$AS$8:$AS$2000,$AN168)+SUMIFS('3. 일출(자체)'!$AD$8:$AD$2000,'3. 일출(자체)'!$AM$8:$AM$2000,$AN168),0)))</x:f>
        <x:v/>
      </x:c>
      <x:c r="AW168" s="377" t="str">
        <x:f>IF($AN168="","",COUNTIF('3. 일출(의존)'!$AS$8:$AS$2000,$AN168)+COUNTIF('3. 일출(자체)'!$AM$8:$AM$2000,$AN168))</x:f>
        <x:v/>
      </x:c>
      <x:c r="AX168" s="374" t="str">
        <x:f t="shared" si="255"/>
        <x:v/>
      </x:c>
      <x:c r="AY168" s="91"/>
      <x:c r="AZ168" s="472" t="str">
        <x:f>IF($AK168="","",SUMIFS('3. 일출(의존)'!$AH$8:$AH$1989,'3. 일출(의존)'!$AN$8:$AN$1989,$AK168))</x:f>
        <x:v/>
      </x:c>
      <x:c r="BA168" s="377" t="str">
        <x:f>IF($AK168="","",COUNTIF('3. 일출(의존)'!$AN$7:$AN$1989,$AK168))</x:f>
        <x:v/>
      </x:c>
      <x:c r="BB168" s="374" t="str">
        <x:f t="shared" si="256"/>
        <x:v/>
      </x:c>
      <x:c r="BC168" s="472" t="str">
        <x:f>IF($AN168="","",IF($AO168="지역개발기금",SUMIFS('3. 일출(의존)'!$AK$8:$AK$2000,'3. 일출(의존)'!$AS$8:$AS$2000,$AN168)+SUMIFS('3. 일출(자체)'!$AJ$8:$AJ$2000,'3. 일출(자체)'!$AM$8:$AM$2000,$AN168),IF($AO168="지방채",SUMIFS('3. 일출(의존)'!$AJ$8:$AJ$2000,'3. 일출(의존)'!$AS$8:$AS$2000,$AN168)+SUMIFS('3. 일출(자체)'!$AI$8:$AI$2000,'3. 일출(자체)'!$AM$8:$AM$2000,$AN168),0)))</x:f>
        <x:v/>
      </x:c>
      <x:c r="BD168" s="377" t="str">
        <x:f>IF($AN168="","",COUNTIF('3. 일출(의존)'!$AS$8:$AS$2000,$AN168)+COUNTIF('3. 일출(자체)'!$AM$8:$AM$2000,$AN168))</x:f>
        <x:v/>
      </x:c>
      <x:c r="BE168" s="374" t="str">
        <x:f t="shared" si="257"/>
        <x:v/>
      </x:c>
    </x:row>
    <x:row r="169" spans="1:57" s="20" customFormat="1" ht="80.099999999999994" customHeight="1">
      <x:c r="A169" s="155" t="str">
        <x:f>IF(D169="","",COUNTA($C$8:C169)-COUNTBLANK($C$8:C169)+10)</x:f>
        <x:v/>
      </x:c>
      <x:c r="B169" s="156" t="str">
        <x: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x:f>
        <x:v/>
      </x:c>
      <x:c r="C169" s="156" t="str">
        <x:f>IF(D169="","",IF(OR(D169="교육지원과",D169="총무과",D169="인사과"),"직접입력",VLOOKUP(D169,구분표!$A$3:$C$258,3,)))</x:f>
        <x:v/>
      </x:c>
      <x:c r="D169" s="219"/>
      <x:c r="E169" s="213"/>
      <x:c r="F169" s="388" t="str">
        <x:f t="shared" si="258"/>
        <x:v/>
      </x:c>
      <x:c r="G169" s="388" t="str">
        <x:f t="shared" si="258"/>
        <x:v/>
      </x:c>
      <x:c r="H169" s="213"/>
      <x:c r="I169" s="156" t="str">
        <x:f>IF(H169="","",VLOOKUP($H169,구분표!$O$3:$P$168,2,FALSE))</x:f>
        <x:v/>
      </x:c>
      <x:c r="J169" s="215"/>
      <x:c r="K169" s="459" t="str">
        <x:f t="shared" si="259"/>
        <x:v/>
      </x:c>
      <x:c r="L169" s="459" t="str">
        <x:f t="shared" si="260"/>
        <x:v/>
      </x:c>
      <x:c r="M169" s="461" t="str">
        <x:f t="shared" si="239"/>
        <x:v/>
      </x:c>
      <x:c r="N169" s="460"/>
      <x:c r="O169" s="461">
        <x:f t="shared" si="240"/>
        <x:v>0</x:v>
      </x:c>
      <x:c r="P169" s="462"/>
      <x:c r="Q169" s="463">
        <x:f t="shared" si="241"/>
        <x:v>0</x:v>
      </x:c>
      <x:c r="R169" s="162" t="str">
        <x:f t="shared" si="242"/>
        <x:v>X</x:v>
      </x:c>
      <x:c r="S169" s="216"/>
      <x:c r="T169" s="327"/>
      <x:c r="U169" s="217"/>
      <x:c r="V169" s="203"/>
      <x:c r="W169" s="217"/>
      <x:c r="X169" s="217"/>
      <x:c r="Y169" s="162" t="str">
        <x:f t="shared" si="243"/>
        <x:v/>
      </x:c>
      <x:c r="Z169" s="45"/>
      <x:c r="AA169" s="471" t="str">
        <x:f t="shared" si="244"/>
        <x:v/>
      </x:c>
      <x:c r="AB169" s="471" t="str">
        <x:f t="shared" si="245"/>
        <x:v/>
      </x:c>
      <x:c r="AC169" s="471" t="str">
        <x:f t="shared" si="246"/>
        <x:v/>
      </x:c>
      <x:c r="AD169" s="471" t="str">
        <x:f t="shared" si="247"/>
        <x:v/>
      </x:c>
      <x:c r="AE169" s="46"/>
      <x:c r="AF169" s="471" t="str">
        <x:f t="shared" si="248"/>
        <x:v/>
      </x:c>
      <x:c r="AG169" s="471" t="str">
        <x:f t="shared" si="249"/>
        <x:v/>
      </x:c>
      <x:c r="AH169" s="471" t="str">
        <x:f t="shared" si="250"/>
        <x:v/>
      </x:c>
      <x:c r="AI169" s="471" t="str">
        <x:f t="shared" si="251"/>
        <x:v/>
      </x:c>
      <x:c r="AJ169" s="87"/>
      <x:c r="AK169" s="374" t="str">
        <x:f>IF($AQ169="","",IF(OR($AL169="",$AL169="도비"),"",CONCATENATE($AQ169,"-",COUNTIF($AQ$8:$AQ169,$AQ169))))</x:f>
        <x:v/>
      </x:c>
      <x:c r="AL169" s="374" t="str">
        <x:f t="shared" si="252"/>
        <x:v/>
      </x:c>
      <x:c r="AM169" s="87"/>
      <x:c r="AN169" s="375" t="str">
        <x:f>IF($AQ169="","",IF(OR($AO169="",$AO169="국비",$AO169="자체"),"",CONCATENATE($AQ169,"-",$AO169,"-",COUNTIF($AQ$8:$AQ169,$AQ169))))</x:f>
        <x:v/>
      </x:c>
      <x:c r="AO169" s="375" t="str">
        <x:f t="shared" si="253"/>
        <x:v/>
      </x:c>
      <x:c r="AP169" s="87"/>
      <x:c r="AQ169" s="374" t="str">
        <x:f t="array" ref="AQ169:AQ169">IF(OR($D169="",$C169="직접입력",$B169="직접입력"),"",INDEX(구분표!$I$2:$I$337,MATCH(1,(구분표!$G$2:$G$337='3. 일입'!$B169)*(구분표!$E$2:$E$337='3. 일입'!$C169)*(구분표!$F$2:$F$337='3. 일입'!$D169),0)))</x:f>
        <x:v/>
      </x:c>
      <x:c r="AR169" s="87"/>
      <x:c r="AS169" s="472" t="str">
        <x:f>IF($AK169="","",SUMIFS('3. 일출(의존)'!$AB$7:$AB$1989,'3. 일출(의존)'!$AN$7:$AN$1989,$AK169))</x:f>
        <x:v/>
      </x:c>
      <x:c r="AT169" s="377" t="str">
        <x:f>IF($AK169="","",COUNTIF('3. 일출(의존)'!$AN$7:$AN$1989,$AK169))</x:f>
        <x:v/>
      </x:c>
      <x:c r="AU169" s="374" t="str">
        <x:f t="shared" si="254"/>
        <x:v/>
      </x:c>
      <x:c r="AV169" s="472" t="str">
        <x:f>IF($AN169="","",IF($AO169="지역개발기금",SUMIFS('3. 일출(의존)'!$AE$8:$AE$2000,'3. 일출(의존)'!$AS$8:$AS$2000,$AN169)+SUMIFS('3. 일출(자체)'!$AE$8:$AE$2000,'3. 일출(자체)'!$AM$8:$AM$2000,$AN169),IF($AO169="지방채",SUMIFS('3. 일출(의존)'!$AD$8:$AD$2000,'3. 일출(의존)'!$AS$8:$AS$2000,$AN169)+SUMIFS('3. 일출(자체)'!$AD$8:$AD$2000,'3. 일출(자체)'!$AM$8:$AM$2000,$AN169),0)))</x:f>
        <x:v/>
      </x:c>
      <x:c r="AW169" s="377" t="str">
        <x:f>IF($AN169="","",COUNTIF('3. 일출(의존)'!$AS$8:$AS$2000,$AN169)+COUNTIF('3. 일출(자체)'!$AM$8:$AM$2000,$AN169))</x:f>
        <x:v/>
      </x:c>
      <x:c r="AX169" s="374" t="str">
        <x:f t="shared" si="255"/>
        <x:v/>
      </x:c>
      <x:c r="AY169" s="91"/>
      <x:c r="AZ169" s="472" t="str">
        <x:f>IF($AK169="","",SUMIFS('3. 일출(의존)'!$AH$8:$AH$1989,'3. 일출(의존)'!$AN$8:$AN$1989,$AK169))</x:f>
        <x:v/>
      </x:c>
      <x:c r="BA169" s="377" t="str">
        <x:f>IF($AK169="","",COUNTIF('3. 일출(의존)'!$AN$7:$AN$1989,$AK169))</x:f>
        <x:v/>
      </x:c>
      <x:c r="BB169" s="374" t="str">
        <x:f t="shared" si="256"/>
        <x:v/>
      </x:c>
      <x:c r="BC169" s="472" t="str">
        <x:f>IF($AN169="","",IF($AO169="지역개발기금",SUMIFS('3. 일출(의존)'!$AK$8:$AK$2000,'3. 일출(의존)'!$AS$8:$AS$2000,$AN169)+SUMIFS('3. 일출(자체)'!$AJ$8:$AJ$2000,'3. 일출(자체)'!$AM$8:$AM$2000,$AN169),IF($AO169="지방채",SUMIFS('3. 일출(의존)'!$AJ$8:$AJ$2000,'3. 일출(의존)'!$AS$8:$AS$2000,$AN169)+SUMIFS('3. 일출(자체)'!$AI$8:$AI$2000,'3. 일출(자체)'!$AM$8:$AM$2000,$AN169),0)))</x:f>
        <x:v/>
      </x:c>
      <x:c r="BD169" s="377" t="str">
        <x:f>IF($AN169="","",COUNTIF('3. 일출(의존)'!$AS$8:$AS$2000,$AN169)+COUNTIF('3. 일출(자체)'!$AM$8:$AM$2000,$AN169))</x:f>
        <x:v/>
      </x:c>
      <x:c r="BE169" s="374" t="str">
        <x:f t="shared" si="257"/>
        <x:v/>
      </x:c>
    </x:row>
    <x:row r="170" spans="1:57" s="20" customFormat="1" ht="80.099999999999994" customHeight="1">
      <x:c r="A170" s="155" t="str">
        <x:f>IF(D170="","",COUNTA($C$8:C170)-COUNTBLANK($C$8:C170)+10)</x:f>
        <x:v/>
      </x:c>
      <x:c r="B170" s="156" t="str">
        <x: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x:f>
        <x:v/>
      </x:c>
      <x:c r="C170" s="156" t="str">
        <x:f>IF(D170="","",IF(OR(D170="교육지원과",D170="총무과",D170="인사과"),"직접입력",VLOOKUP(D170,구분표!$A$3:$C$258,3,)))</x:f>
        <x:v/>
      </x:c>
      <x:c r="D170" s="219"/>
      <x:c r="E170" s="213"/>
      <x:c r="F170" s="388" t="str">
        <x:f t="shared" si="258"/>
        <x:v/>
      </x:c>
      <x:c r="G170" s="388" t="str">
        <x:f t="shared" si="258"/>
        <x:v/>
      </x:c>
      <x:c r="H170" s="213"/>
      <x:c r="I170" s="156" t="str">
        <x:f>IF(H170="","",VLOOKUP($H170,구분표!$O$3:$P$168,2,FALSE))</x:f>
        <x:v/>
      </x:c>
      <x:c r="J170" s="215"/>
      <x:c r="K170" s="459" t="str">
        <x:f t="shared" si="259"/>
        <x:v/>
      </x:c>
      <x:c r="L170" s="459" t="str">
        <x:f t="shared" si="260"/>
        <x:v/>
      </x:c>
      <x:c r="M170" s="461" t="str">
        <x:f t="shared" si="239"/>
        <x:v/>
      </x:c>
      <x:c r="N170" s="460"/>
      <x:c r="O170" s="461">
        <x:f t="shared" si="240"/>
        <x:v>0</x:v>
      </x:c>
      <x:c r="P170" s="462"/>
      <x:c r="Q170" s="463">
        <x:f t="shared" si="241"/>
        <x:v>0</x:v>
      </x:c>
      <x:c r="R170" s="162" t="str">
        <x:f t="shared" si="242"/>
        <x:v>X</x:v>
      </x:c>
      <x:c r="S170" s="216"/>
      <x:c r="T170" s="327"/>
      <x:c r="U170" s="217"/>
      <x:c r="V170" s="203"/>
      <x:c r="W170" s="217"/>
      <x:c r="X170" s="217"/>
      <x:c r="Y170" s="162" t="str">
        <x:f t="shared" si="243"/>
        <x:v/>
      </x:c>
      <x:c r="Z170" s="45"/>
      <x:c r="AA170" s="471" t="str">
        <x:f t="shared" si="244"/>
        <x:v/>
      </x:c>
      <x:c r="AB170" s="471" t="str">
        <x:f t="shared" si="245"/>
        <x:v/>
      </x:c>
      <x:c r="AC170" s="471" t="str">
        <x:f t="shared" si="246"/>
        <x:v/>
      </x:c>
      <x:c r="AD170" s="471" t="str">
        <x:f t="shared" si="247"/>
        <x:v/>
      </x:c>
      <x:c r="AE170" s="46"/>
      <x:c r="AF170" s="471" t="str">
        <x:f t="shared" si="248"/>
        <x:v/>
      </x:c>
      <x:c r="AG170" s="471" t="str">
        <x:f t="shared" si="249"/>
        <x:v/>
      </x:c>
      <x:c r="AH170" s="471" t="str">
        <x:f t="shared" si="250"/>
        <x:v/>
      </x:c>
      <x:c r="AI170" s="471" t="str">
        <x:f t="shared" si="251"/>
        <x:v/>
      </x:c>
      <x:c r="AJ170" s="87"/>
      <x:c r="AK170" s="374" t="str">
        <x:f>IF($AQ170="","",IF(OR($AL170="",$AL170="도비"),"",CONCATENATE($AQ170,"-",COUNTIF($AQ$8:$AQ170,$AQ170))))</x:f>
        <x:v/>
      </x:c>
      <x:c r="AL170" s="374" t="str">
        <x:f t="shared" si="252"/>
        <x:v/>
      </x:c>
      <x:c r="AM170" s="87"/>
      <x:c r="AN170" s="375" t="str">
        <x:f>IF($AQ170="","",IF(OR($AO170="",$AO170="국비",$AO170="자체"),"",CONCATENATE($AQ170,"-",$AO170,"-",COUNTIF($AQ$8:$AQ170,$AQ170))))</x:f>
        <x:v/>
      </x:c>
      <x:c r="AO170" s="375" t="str">
        <x:f t="shared" si="253"/>
        <x:v/>
      </x:c>
      <x:c r="AP170" s="87"/>
      <x:c r="AQ170" s="374" t="str">
        <x:f t="array" ref="AQ170:AQ170">IF(OR($D170="",$C170="직접입력",$B170="직접입력"),"",INDEX(구분표!$I$2:$I$337,MATCH(1,(구분표!$G$2:$G$337='3. 일입'!$B170)*(구분표!$E$2:$E$337='3. 일입'!$C170)*(구분표!$F$2:$F$337='3. 일입'!$D170),0)))</x:f>
        <x:v/>
      </x:c>
      <x:c r="AR170" s="87"/>
      <x:c r="AS170" s="472" t="str">
        <x:f>IF($AK170="","",SUMIFS('3. 일출(의존)'!$AB$7:$AB$1989,'3. 일출(의존)'!$AN$7:$AN$1989,$AK170))</x:f>
        <x:v/>
      </x:c>
      <x:c r="AT170" s="377" t="str">
        <x:f>IF($AK170="","",COUNTIF('3. 일출(의존)'!$AN$7:$AN$1989,$AK170))</x:f>
        <x:v/>
      </x:c>
      <x:c r="AU170" s="374" t="str">
        <x:f t="shared" si="254"/>
        <x:v/>
      </x:c>
      <x:c r="AV170" s="472" t="str">
        <x:f>IF($AN170="","",IF($AO170="지역개발기금",SUMIFS('3. 일출(의존)'!$AE$8:$AE$2000,'3. 일출(의존)'!$AS$8:$AS$2000,$AN170)+SUMIFS('3. 일출(자체)'!$AE$8:$AE$2000,'3. 일출(자체)'!$AM$8:$AM$2000,$AN170),IF($AO170="지방채",SUMIFS('3. 일출(의존)'!$AD$8:$AD$2000,'3. 일출(의존)'!$AS$8:$AS$2000,$AN170)+SUMIFS('3. 일출(자체)'!$AD$8:$AD$2000,'3. 일출(자체)'!$AM$8:$AM$2000,$AN170),0)))</x:f>
        <x:v/>
      </x:c>
      <x:c r="AW170" s="377" t="str">
        <x:f>IF($AN170="","",COUNTIF('3. 일출(의존)'!$AS$8:$AS$2000,$AN170)+COUNTIF('3. 일출(자체)'!$AM$8:$AM$2000,$AN170))</x:f>
        <x:v/>
      </x:c>
      <x:c r="AX170" s="374" t="str">
        <x:f t="shared" si="255"/>
        <x:v/>
      </x:c>
      <x:c r="AY170" s="91"/>
      <x:c r="AZ170" s="472" t="str">
        <x:f>IF($AK170="","",SUMIFS('3. 일출(의존)'!$AH$8:$AH$1989,'3. 일출(의존)'!$AN$8:$AN$1989,$AK170))</x:f>
        <x:v/>
      </x:c>
      <x:c r="BA170" s="377" t="str">
        <x:f>IF($AK170="","",COUNTIF('3. 일출(의존)'!$AN$7:$AN$1989,$AK170))</x:f>
        <x:v/>
      </x:c>
      <x:c r="BB170" s="374" t="str">
        <x:f t="shared" si="256"/>
        <x:v/>
      </x:c>
      <x:c r="BC170" s="472" t="str">
        <x:f>IF($AN170="","",IF($AO170="지역개발기금",SUMIFS('3. 일출(의존)'!$AK$8:$AK$2000,'3. 일출(의존)'!$AS$8:$AS$2000,$AN170)+SUMIFS('3. 일출(자체)'!$AJ$8:$AJ$2000,'3. 일출(자체)'!$AM$8:$AM$2000,$AN170),IF($AO170="지방채",SUMIFS('3. 일출(의존)'!$AJ$8:$AJ$2000,'3. 일출(의존)'!$AS$8:$AS$2000,$AN170)+SUMIFS('3. 일출(자체)'!$AI$8:$AI$2000,'3. 일출(자체)'!$AM$8:$AM$2000,$AN170),0)))</x:f>
        <x:v/>
      </x:c>
      <x:c r="BD170" s="377" t="str">
        <x:f>IF($AN170="","",COUNTIF('3. 일출(의존)'!$AS$8:$AS$2000,$AN170)+COUNTIF('3. 일출(자체)'!$AM$8:$AM$2000,$AN170))</x:f>
        <x:v/>
      </x:c>
      <x:c r="BE170" s="374" t="str">
        <x:f t="shared" si="257"/>
        <x:v/>
      </x:c>
    </x:row>
    <x:row r="171" spans="1:57" s="20" customFormat="1" ht="80.099999999999994" customHeight="1">
      <x:c r="A171" s="155" t="str">
        <x:f>IF(D171="","",COUNTA($C$8:C171)-COUNTBLANK($C$8:C171)+10)</x:f>
        <x:v/>
      </x:c>
      <x:c r="B171" s="156" t="str">
        <x: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x:f>
        <x:v/>
      </x:c>
      <x:c r="C171" s="156" t="str">
        <x:f>IF(D171="","",IF(OR(D171="교육지원과",D171="총무과",D171="인사과"),"직접입력",VLOOKUP(D171,구분표!$A$3:$C$258,3,)))</x:f>
        <x:v/>
      </x:c>
      <x:c r="D171" s="219"/>
      <x:c r="E171" s="213"/>
      <x:c r="F171" s="388" t="str">
        <x:f t="shared" si="258"/>
        <x:v/>
      </x:c>
      <x:c r="G171" s="388" t="str">
        <x:f t="shared" si="258"/>
        <x:v/>
      </x:c>
      <x:c r="H171" s="213"/>
      <x:c r="I171" s="156" t="str">
        <x:f>IF(H171="","",VLOOKUP($H171,구분표!$O$3:$P$168,2,FALSE))</x:f>
        <x:v/>
      </x:c>
      <x:c r="J171" s="215"/>
      <x:c r="K171" s="459" t="str">
        <x:f t="shared" si="259"/>
        <x:v/>
      </x:c>
      <x:c r="L171" s="459" t="str">
        <x:f t="shared" si="260"/>
        <x:v/>
      </x:c>
      <x:c r="M171" s="461" t="str">
        <x:f t="shared" si="239"/>
        <x:v/>
      </x:c>
      <x:c r="N171" s="460"/>
      <x:c r="O171" s="461">
        <x:f t="shared" si="240"/>
        <x:v>0</x:v>
      </x:c>
      <x:c r="P171" s="462"/>
      <x:c r="Q171" s="463">
        <x:f t="shared" si="241"/>
        <x:v>0</x:v>
      </x:c>
      <x:c r="R171" s="162" t="str">
        <x:f t="shared" si="242"/>
        <x:v>X</x:v>
      </x:c>
      <x:c r="S171" s="216"/>
      <x:c r="T171" s="327"/>
      <x:c r="U171" s="217"/>
      <x:c r="V171" s="203"/>
      <x:c r="W171" s="217"/>
      <x:c r="X171" s="217"/>
      <x:c r="Y171" s="162" t="str">
        <x:f t="shared" si="243"/>
        <x:v/>
      </x:c>
      <x:c r="Z171" s="45"/>
      <x:c r="AA171" s="471" t="str">
        <x:f t="shared" si="244"/>
        <x:v/>
      </x:c>
      <x:c r="AB171" s="471" t="str">
        <x:f t="shared" si="245"/>
        <x:v/>
      </x:c>
      <x:c r="AC171" s="471" t="str">
        <x:f t="shared" si="246"/>
        <x:v/>
      </x:c>
      <x:c r="AD171" s="471" t="str">
        <x:f t="shared" si="247"/>
        <x:v/>
      </x:c>
      <x:c r="AE171" s="46"/>
      <x:c r="AF171" s="471" t="str">
        <x:f t="shared" si="248"/>
        <x:v/>
      </x:c>
      <x:c r="AG171" s="471" t="str">
        <x:f t="shared" si="249"/>
        <x:v/>
      </x:c>
      <x:c r="AH171" s="471" t="str">
        <x:f t="shared" si="250"/>
        <x:v/>
      </x:c>
      <x:c r="AI171" s="471" t="str">
        <x:f t="shared" si="251"/>
        <x:v/>
      </x:c>
      <x:c r="AJ171" s="87"/>
      <x:c r="AK171" s="374" t="str">
        <x:f>IF($AQ171="","",IF(OR($AL171="",$AL171="도비"),"",CONCATENATE($AQ171,"-",COUNTIF($AQ$8:$AQ171,$AQ171))))</x:f>
        <x:v/>
      </x:c>
      <x:c r="AL171" s="374" t="str">
        <x:f t="shared" si="252"/>
        <x:v/>
      </x:c>
      <x:c r="AM171" s="87"/>
      <x:c r="AN171" s="375" t="str">
        <x:f>IF($AQ171="","",IF(OR($AO171="",$AO171="국비",$AO171="자체"),"",CONCATENATE($AQ171,"-",$AO171,"-",COUNTIF($AQ$8:$AQ171,$AQ171))))</x:f>
        <x:v/>
      </x:c>
      <x:c r="AO171" s="375" t="str">
        <x:f t="shared" si="253"/>
        <x:v/>
      </x:c>
      <x:c r="AP171" s="87"/>
      <x:c r="AQ171" s="374" t="str">
        <x:f t="array" ref="AQ171:AQ171">IF(OR($D171="",$C171="직접입력",$B171="직접입력"),"",INDEX(구분표!$I$2:$I$337,MATCH(1,(구분표!$G$2:$G$337='3. 일입'!$B171)*(구분표!$E$2:$E$337='3. 일입'!$C171)*(구분표!$F$2:$F$337='3. 일입'!$D171),0)))</x:f>
        <x:v/>
      </x:c>
      <x:c r="AR171" s="87"/>
      <x:c r="AS171" s="472" t="str">
        <x:f>IF($AK171="","",SUMIFS('3. 일출(의존)'!$AB$7:$AB$1989,'3. 일출(의존)'!$AN$7:$AN$1989,$AK171))</x:f>
        <x:v/>
      </x:c>
      <x:c r="AT171" s="377" t="str">
        <x:f>IF($AK171="","",COUNTIF('3. 일출(의존)'!$AN$7:$AN$1989,$AK171))</x:f>
        <x:v/>
      </x:c>
      <x:c r="AU171" s="374" t="str">
        <x:f t="shared" si="254"/>
        <x:v/>
      </x:c>
      <x:c r="AV171" s="472" t="str">
        <x:f>IF($AN171="","",IF($AO171="지역개발기금",SUMIFS('3. 일출(의존)'!$AE$8:$AE$2000,'3. 일출(의존)'!$AS$8:$AS$2000,$AN171)+SUMIFS('3. 일출(자체)'!$AE$8:$AE$2000,'3. 일출(자체)'!$AM$8:$AM$2000,$AN171),IF($AO171="지방채",SUMIFS('3. 일출(의존)'!$AD$8:$AD$2000,'3. 일출(의존)'!$AS$8:$AS$2000,$AN171)+SUMIFS('3. 일출(자체)'!$AD$8:$AD$2000,'3. 일출(자체)'!$AM$8:$AM$2000,$AN171),0)))</x:f>
        <x:v/>
      </x:c>
      <x:c r="AW171" s="377" t="str">
        <x:f>IF($AN171="","",COUNTIF('3. 일출(의존)'!$AS$8:$AS$2000,$AN171)+COUNTIF('3. 일출(자체)'!$AM$8:$AM$2000,$AN171))</x:f>
        <x:v/>
      </x:c>
      <x:c r="AX171" s="374" t="str">
        <x:f t="shared" si="255"/>
        <x:v/>
      </x:c>
      <x:c r="AY171" s="91"/>
      <x:c r="AZ171" s="472" t="str">
        <x:f>IF($AK171="","",SUMIFS('3. 일출(의존)'!$AH$8:$AH$1989,'3. 일출(의존)'!$AN$8:$AN$1989,$AK171))</x:f>
        <x:v/>
      </x:c>
      <x:c r="BA171" s="377" t="str">
        <x:f>IF($AK171="","",COUNTIF('3. 일출(의존)'!$AN$7:$AN$1989,$AK171))</x:f>
        <x:v/>
      </x:c>
      <x:c r="BB171" s="374" t="str">
        <x:f t="shared" si="256"/>
        <x:v/>
      </x:c>
      <x:c r="BC171" s="472" t="str">
        <x:f>IF($AN171="","",IF($AO171="지역개발기금",SUMIFS('3. 일출(의존)'!$AK$8:$AK$2000,'3. 일출(의존)'!$AS$8:$AS$2000,$AN171)+SUMIFS('3. 일출(자체)'!$AJ$8:$AJ$2000,'3. 일출(자체)'!$AM$8:$AM$2000,$AN171),IF($AO171="지방채",SUMIFS('3. 일출(의존)'!$AJ$8:$AJ$2000,'3. 일출(의존)'!$AS$8:$AS$2000,$AN171)+SUMIFS('3. 일출(자체)'!$AI$8:$AI$2000,'3. 일출(자체)'!$AM$8:$AM$2000,$AN171),0)))</x:f>
        <x:v/>
      </x:c>
      <x:c r="BD171" s="377" t="str">
        <x:f>IF($AN171="","",COUNTIF('3. 일출(의존)'!$AS$8:$AS$2000,$AN171)+COUNTIF('3. 일출(자체)'!$AM$8:$AM$2000,$AN171))</x:f>
        <x:v/>
      </x:c>
      <x:c r="BE171" s="374" t="str">
        <x:f t="shared" si="257"/>
        <x:v/>
      </x:c>
    </x:row>
    <x:row r="172" spans="1:57" s="20" customFormat="1" ht="80.099999999999994" customHeight="1">
      <x:c r="A172" s="155" t="str">
        <x:f>IF(D172="","",COUNTA($C$8:C172)-COUNTBLANK($C$8:C172)+10)</x:f>
        <x:v/>
      </x:c>
      <x:c r="B172" s="156" t="str">
        <x: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x:f>
        <x:v/>
      </x:c>
      <x:c r="C172" s="156" t="str">
        <x:f>IF(D172="","",IF(OR(D172="교육지원과",D172="총무과",D172="인사과"),"직접입력",VLOOKUP(D172,구분표!$A$3:$C$258,3,)))</x:f>
        <x:v/>
      </x:c>
      <x:c r="D172" s="219"/>
      <x:c r="E172" s="213"/>
      <x:c r="F172" s="388" t="str">
        <x:f t="shared" si="258"/>
        <x:v/>
      </x:c>
      <x:c r="G172" s="388" t="str">
        <x:f t="shared" si="258"/>
        <x:v/>
      </x:c>
      <x:c r="H172" s="213"/>
      <x:c r="I172" s="156" t="str">
        <x:f>IF(H172="","",VLOOKUP($H172,구분표!$O$3:$P$168,2,FALSE))</x:f>
        <x:v/>
      </x:c>
      <x:c r="J172" s="215"/>
      <x:c r="K172" s="459" t="str">
        <x:f t="shared" si="259"/>
        <x:v/>
      </x:c>
      <x:c r="L172" s="459" t="str">
        <x:f t="shared" si="260"/>
        <x:v/>
      </x:c>
      <x:c r="M172" s="461" t="str">
        <x:f t="shared" si="239"/>
        <x:v/>
      </x:c>
      <x:c r="N172" s="460"/>
      <x:c r="O172" s="461">
        <x:f t="shared" si="240"/>
        <x:v>0</x:v>
      </x:c>
      <x:c r="P172" s="462"/>
      <x:c r="Q172" s="463">
        <x:f t="shared" si="241"/>
        <x:v>0</x:v>
      </x:c>
      <x:c r="R172" s="162" t="str">
        <x:f t="shared" si="242"/>
        <x:v>X</x:v>
      </x:c>
      <x:c r="S172" s="216"/>
      <x:c r="T172" s="327"/>
      <x:c r="U172" s="217"/>
      <x:c r="V172" s="203"/>
      <x:c r="W172" s="217"/>
      <x:c r="X172" s="217"/>
      <x:c r="Y172" s="162" t="str">
        <x:f t="shared" si="243"/>
        <x:v/>
      </x:c>
      <x:c r="Z172" s="45"/>
      <x:c r="AA172" s="471" t="str">
        <x:f t="shared" si="244"/>
        <x:v/>
      </x:c>
      <x:c r="AB172" s="471" t="str">
        <x:f t="shared" si="245"/>
        <x:v/>
      </x:c>
      <x:c r="AC172" s="471" t="str">
        <x:f t="shared" si="246"/>
        <x:v/>
      </x:c>
      <x:c r="AD172" s="471" t="str">
        <x:f t="shared" si="247"/>
        <x:v/>
      </x:c>
      <x:c r="AE172" s="46"/>
      <x:c r="AF172" s="471" t="str">
        <x:f t="shared" si="248"/>
        <x:v/>
      </x:c>
      <x:c r="AG172" s="471" t="str">
        <x:f t="shared" si="249"/>
        <x:v/>
      </x:c>
      <x:c r="AH172" s="471" t="str">
        <x:f t="shared" si="250"/>
        <x:v/>
      </x:c>
      <x:c r="AI172" s="471" t="str">
        <x:f t="shared" si="251"/>
        <x:v/>
      </x:c>
      <x:c r="AJ172" s="87"/>
      <x:c r="AK172" s="374" t="str">
        <x:f>IF($AQ172="","",IF(OR($AL172="",$AL172="도비"),"",CONCATENATE($AQ172,"-",COUNTIF($AQ$8:$AQ172,$AQ172))))</x:f>
        <x:v/>
      </x:c>
      <x:c r="AL172" s="374" t="str">
        <x:f t="shared" si="252"/>
        <x:v/>
      </x:c>
      <x:c r="AM172" s="87"/>
      <x:c r="AN172" s="375" t="str">
        <x:f>IF($AQ172="","",IF(OR($AO172="",$AO172="국비",$AO172="자체"),"",CONCATENATE($AQ172,"-",$AO172,"-",COUNTIF($AQ$8:$AQ172,$AQ172))))</x:f>
        <x:v/>
      </x:c>
      <x:c r="AO172" s="375" t="str">
        <x:f t="shared" si="253"/>
        <x:v/>
      </x:c>
      <x:c r="AP172" s="87"/>
      <x:c r="AQ172" s="374" t="str">
        <x:f t="array" ref="AQ172:AQ172">IF(OR($D172="",$C172="직접입력",$B172="직접입력"),"",INDEX(구분표!$I$2:$I$337,MATCH(1,(구분표!$G$2:$G$337='3. 일입'!$B172)*(구분표!$E$2:$E$337='3. 일입'!$C172)*(구분표!$F$2:$F$337='3. 일입'!$D172),0)))</x:f>
        <x:v/>
      </x:c>
      <x:c r="AR172" s="87"/>
      <x:c r="AS172" s="472" t="str">
        <x:f>IF($AK172="","",SUMIFS('3. 일출(의존)'!$AB$7:$AB$1989,'3. 일출(의존)'!$AN$7:$AN$1989,$AK172))</x:f>
        <x:v/>
      </x:c>
      <x:c r="AT172" s="377" t="str">
        <x:f>IF($AK172="","",COUNTIF('3. 일출(의존)'!$AN$7:$AN$1989,$AK172))</x:f>
        <x:v/>
      </x:c>
      <x:c r="AU172" s="374" t="str">
        <x:f t="shared" si="254"/>
        <x:v/>
      </x:c>
      <x:c r="AV172" s="472" t="str">
        <x:f>IF($AN172="","",IF($AO172="지역개발기금",SUMIFS('3. 일출(의존)'!$AE$8:$AE$2000,'3. 일출(의존)'!$AS$8:$AS$2000,$AN172)+SUMIFS('3. 일출(자체)'!$AE$8:$AE$2000,'3. 일출(자체)'!$AM$8:$AM$2000,$AN172),IF($AO172="지방채",SUMIFS('3. 일출(의존)'!$AD$8:$AD$2000,'3. 일출(의존)'!$AS$8:$AS$2000,$AN172)+SUMIFS('3. 일출(자체)'!$AD$8:$AD$2000,'3. 일출(자체)'!$AM$8:$AM$2000,$AN172),0)))</x:f>
        <x:v/>
      </x:c>
      <x:c r="AW172" s="377" t="str">
        <x:f>IF($AN172="","",COUNTIF('3. 일출(의존)'!$AS$8:$AS$2000,$AN172)+COUNTIF('3. 일출(자체)'!$AM$8:$AM$2000,$AN172))</x:f>
        <x:v/>
      </x:c>
      <x:c r="AX172" s="374" t="str">
        <x:f t="shared" si="255"/>
        <x:v/>
      </x:c>
      <x:c r="AY172" s="91"/>
      <x:c r="AZ172" s="472" t="str">
        <x:f>IF($AK172="","",SUMIFS('3. 일출(의존)'!$AH$8:$AH$1989,'3. 일출(의존)'!$AN$8:$AN$1989,$AK172))</x:f>
        <x:v/>
      </x:c>
      <x:c r="BA172" s="377" t="str">
        <x:f>IF($AK172="","",COUNTIF('3. 일출(의존)'!$AN$7:$AN$1989,$AK172))</x:f>
        <x:v/>
      </x:c>
      <x:c r="BB172" s="374" t="str">
        <x:f t="shared" si="256"/>
        <x:v/>
      </x:c>
      <x:c r="BC172" s="472" t="str">
        <x:f>IF($AN172="","",IF($AO172="지역개발기금",SUMIFS('3. 일출(의존)'!$AK$8:$AK$2000,'3. 일출(의존)'!$AS$8:$AS$2000,$AN172)+SUMIFS('3. 일출(자체)'!$AJ$8:$AJ$2000,'3. 일출(자체)'!$AM$8:$AM$2000,$AN172),IF($AO172="지방채",SUMIFS('3. 일출(의존)'!$AJ$8:$AJ$2000,'3. 일출(의존)'!$AS$8:$AS$2000,$AN172)+SUMIFS('3. 일출(자체)'!$AI$8:$AI$2000,'3. 일출(자체)'!$AM$8:$AM$2000,$AN172),0)))</x:f>
        <x:v/>
      </x:c>
      <x:c r="BD172" s="377" t="str">
        <x:f>IF($AN172="","",COUNTIF('3. 일출(의존)'!$AS$8:$AS$2000,$AN172)+COUNTIF('3. 일출(자체)'!$AM$8:$AM$2000,$AN172))</x:f>
        <x:v/>
      </x:c>
      <x:c r="BE172" s="374" t="str">
        <x:f t="shared" si="257"/>
        <x:v/>
      </x:c>
    </x:row>
    <x:row r="173" spans="1:57" s="20" customFormat="1" ht="80.099999999999994" customHeight="1">
      <x:c r="A173" s="155" t="str">
        <x:f>IF(D173="","",COUNTA($C$8:C173)-COUNTBLANK($C$8:C173)+10)</x:f>
        <x:v/>
      </x:c>
      <x:c r="B173" s="156" t="str">
        <x: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x:f>
        <x:v/>
      </x:c>
      <x:c r="C173" s="156" t="str">
        <x:f>IF(D173="","",IF(OR(D173="교육지원과",D173="총무과",D173="인사과"),"직접입력",VLOOKUP(D173,구분표!$A$3:$C$258,3,)))</x:f>
        <x:v/>
      </x:c>
      <x:c r="D173" s="219"/>
      <x:c r="E173" s="213"/>
      <x:c r="F173" s="388" t="str">
        <x:f t="shared" si="258"/>
        <x:v/>
      </x:c>
      <x:c r="G173" s="388" t="str">
        <x:f t="shared" si="258"/>
        <x:v/>
      </x:c>
      <x:c r="H173" s="213"/>
      <x:c r="I173" s="156" t="str">
        <x:f>IF(H173="","",VLOOKUP($H173,구분표!$O$3:$P$168,2,FALSE))</x:f>
        <x:v/>
      </x:c>
      <x:c r="J173" s="215"/>
      <x:c r="K173" s="459" t="str">
        <x:f t="shared" si="259"/>
        <x:v/>
      </x:c>
      <x:c r="L173" s="459" t="str">
        <x:f t="shared" si="260"/>
        <x:v/>
      </x:c>
      <x:c r="M173" s="461" t="str">
        <x:f t="shared" si="239"/>
        <x:v/>
      </x:c>
      <x:c r="N173" s="460"/>
      <x:c r="O173" s="461">
        <x:f t="shared" si="240"/>
        <x:v>0</x:v>
      </x:c>
      <x:c r="P173" s="462"/>
      <x:c r="Q173" s="463">
        <x:f t="shared" si="241"/>
        <x:v>0</x:v>
      </x:c>
      <x:c r="R173" s="162" t="str">
        <x:f t="shared" si="242"/>
        <x:v>X</x:v>
      </x:c>
      <x:c r="S173" s="216"/>
      <x:c r="T173" s="327"/>
      <x:c r="U173" s="217"/>
      <x:c r="V173" s="203"/>
      <x:c r="W173" s="217"/>
      <x:c r="X173" s="217"/>
      <x:c r="Y173" s="162" t="str">
        <x:f t="shared" si="243"/>
        <x:v/>
      </x:c>
      <x:c r="Z173" s="45"/>
      <x:c r="AA173" s="471" t="str">
        <x:f t="shared" si="244"/>
        <x:v/>
      </x:c>
      <x:c r="AB173" s="471" t="str">
        <x:f t="shared" si="245"/>
        <x:v/>
      </x:c>
      <x:c r="AC173" s="471" t="str">
        <x:f t="shared" si="246"/>
        <x:v/>
      </x:c>
      <x:c r="AD173" s="471" t="str">
        <x:f t="shared" si="247"/>
        <x:v/>
      </x:c>
      <x:c r="AE173" s="46"/>
      <x:c r="AF173" s="471" t="str">
        <x:f t="shared" si="248"/>
        <x:v/>
      </x:c>
      <x:c r="AG173" s="471" t="str">
        <x:f t="shared" si="249"/>
        <x:v/>
      </x:c>
      <x:c r="AH173" s="471" t="str">
        <x:f t="shared" si="250"/>
        <x:v/>
      </x:c>
      <x:c r="AI173" s="471" t="str">
        <x:f t="shared" si="251"/>
        <x:v/>
      </x:c>
      <x:c r="AJ173" s="87"/>
      <x:c r="AK173" s="374" t="str">
        <x:f>IF($AQ173="","",IF(OR($AL173="",$AL173="도비"),"",CONCATENATE($AQ173,"-",COUNTIF($AQ$8:$AQ173,$AQ173))))</x:f>
        <x:v/>
      </x:c>
      <x:c r="AL173" s="374" t="str">
        <x:f t="shared" si="252"/>
        <x:v/>
      </x:c>
      <x:c r="AM173" s="87"/>
      <x:c r="AN173" s="375" t="str">
        <x:f>IF($AQ173="","",IF(OR($AO173="",$AO173="국비",$AO173="자체"),"",CONCATENATE($AQ173,"-",$AO173,"-",COUNTIF($AQ$8:$AQ173,$AQ173))))</x:f>
        <x:v/>
      </x:c>
      <x:c r="AO173" s="375" t="str">
        <x:f t="shared" si="253"/>
        <x:v/>
      </x:c>
      <x:c r="AP173" s="87"/>
      <x:c r="AQ173" s="374" t="str">
        <x:f t="array" ref="AQ173:AQ173">IF(OR($D173="",$C173="직접입력",$B173="직접입력"),"",INDEX(구분표!$I$2:$I$337,MATCH(1,(구분표!$G$2:$G$337='3. 일입'!$B173)*(구분표!$E$2:$E$337='3. 일입'!$C173)*(구분표!$F$2:$F$337='3. 일입'!$D173),0)))</x:f>
        <x:v/>
      </x:c>
      <x:c r="AR173" s="87"/>
      <x:c r="AS173" s="472" t="str">
        <x:f>IF($AK173="","",SUMIFS('3. 일출(의존)'!$AB$7:$AB$1989,'3. 일출(의존)'!$AN$7:$AN$1989,$AK173))</x:f>
        <x:v/>
      </x:c>
      <x:c r="AT173" s="377" t="str">
        <x:f>IF($AK173="","",COUNTIF('3. 일출(의존)'!$AN$7:$AN$1989,$AK173))</x:f>
        <x:v/>
      </x:c>
      <x:c r="AU173" s="374" t="str">
        <x:f t="shared" si="254"/>
        <x:v/>
      </x:c>
      <x:c r="AV173" s="472" t="str">
        <x:f>IF($AN173="","",IF($AO173="지역개발기금",SUMIFS('3. 일출(의존)'!$AE$8:$AE$2000,'3. 일출(의존)'!$AS$8:$AS$2000,$AN173)+SUMIFS('3. 일출(자체)'!$AE$8:$AE$2000,'3. 일출(자체)'!$AM$8:$AM$2000,$AN173),IF($AO173="지방채",SUMIFS('3. 일출(의존)'!$AD$8:$AD$2000,'3. 일출(의존)'!$AS$8:$AS$2000,$AN173)+SUMIFS('3. 일출(자체)'!$AD$8:$AD$2000,'3. 일출(자체)'!$AM$8:$AM$2000,$AN173),0)))</x:f>
        <x:v/>
      </x:c>
      <x:c r="AW173" s="377" t="str">
        <x:f>IF($AN173="","",COUNTIF('3. 일출(의존)'!$AS$8:$AS$2000,$AN173)+COUNTIF('3. 일출(자체)'!$AM$8:$AM$2000,$AN173))</x:f>
        <x:v/>
      </x:c>
      <x:c r="AX173" s="374" t="str">
        <x:f t="shared" si="255"/>
        <x:v/>
      </x:c>
      <x:c r="AY173" s="91"/>
      <x:c r="AZ173" s="472" t="str">
        <x:f>IF($AK173="","",SUMIFS('3. 일출(의존)'!$AH$8:$AH$1989,'3. 일출(의존)'!$AN$8:$AN$1989,$AK173))</x:f>
        <x:v/>
      </x:c>
      <x:c r="BA173" s="377" t="str">
        <x:f>IF($AK173="","",COUNTIF('3. 일출(의존)'!$AN$7:$AN$1989,$AK173))</x:f>
        <x:v/>
      </x:c>
      <x:c r="BB173" s="374" t="str">
        <x:f t="shared" si="256"/>
        <x:v/>
      </x:c>
      <x:c r="BC173" s="472" t="str">
        <x:f>IF($AN173="","",IF($AO173="지역개발기금",SUMIFS('3. 일출(의존)'!$AK$8:$AK$2000,'3. 일출(의존)'!$AS$8:$AS$2000,$AN173)+SUMIFS('3. 일출(자체)'!$AJ$8:$AJ$2000,'3. 일출(자체)'!$AM$8:$AM$2000,$AN173),IF($AO173="지방채",SUMIFS('3. 일출(의존)'!$AJ$8:$AJ$2000,'3. 일출(의존)'!$AS$8:$AS$2000,$AN173)+SUMIFS('3. 일출(자체)'!$AI$8:$AI$2000,'3. 일출(자체)'!$AM$8:$AM$2000,$AN173),0)))</x:f>
        <x:v/>
      </x:c>
      <x:c r="BD173" s="377" t="str">
        <x:f>IF($AN173="","",COUNTIF('3. 일출(의존)'!$AS$8:$AS$2000,$AN173)+COUNTIF('3. 일출(자체)'!$AM$8:$AM$2000,$AN173))</x:f>
        <x:v/>
      </x:c>
      <x:c r="BE173" s="374" t="str">
        <x:f t="shared" si="257"/>
        <x:v/>
      </x:c>
    </x:row>
    <x:row r="174" spans="1:57" s="20" customFormat="1" ht="80.099999999999994" customHeight="1">
      <x:c r="A174" s="155" t="str">
        <x:f>IF(D174="","",COUNTA($C$8:C174)-COUNTBLANK($C$8:C174)+10)</x:f>
        <x:v/>
      </x:c>
      <x:c r="B174" s="156" t="str">
        <x: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x:f>
        <x:v/>
      </x:c>
      <x:c r="C174" s="156" t="str">
        <x:f>IF(D174="","",IF(OR(D174="교육지원과",D174="총무과",D174="인사과"),"직접입력",VLOOKUP(D174,구분표!$A$3:$C$258,3,)))</x:f>
        <x:v/>
      </x:c>
      <x:c r="D174" s="219"/>
      <x:c r="E174" s="213"/>
      <x:c r="F174" s="388" t="str">
        <x:f t="shared" si="258"/>
        <x:v/>
      </x:c>
      <x:c r="G174" s="388" t="str">
        <x:f t="shared" si="258"/>
        <x:v/>
      </x:c>
      <x:c r="H174" s="213"/>
      <x:c r="I174" s="156" t="str">
        <x:f>IF(H174="","",VLOOKUP($H174,구분표!$O$3:$P$168,2,FALSE))</x:f>
        <x:v/>
      </x:c>
      <x:c r="J174" s="215"/>
      <x:c r="K174" s="459" t="str">
        <x:f t="shared" si="259"/>
        <x:v/>
      </x:c>
      <x:c r="L174" s="459" t="str">
        <x:f t="shared" si="260"/>
        <x:v/>
      </x:c>
      <x:c r="M174" s="461" t="str">
        <x:f t="shared" si="239"/>
        <x:v/>
      </x:c>
      <x:c r="N174" s="460"/>
      <x:c r="O174" s="461">
        <x:f t="shared" si="240"/>
        <x:v>0</x:v>
      </x:c>
      <x:c r="P174" s="462"/>
      <x:c r="Q174" s="463">
        <x:f t="shared" si="241"/>
        <x:v>0</x:v>
      </x:c>
      <x:c r="R174" s="162" t="str">
        <x:f t="shared" si="242"/>
        <x:v>X</x:v>
      </x:c>
      <x:c r="S174" s="216"/>
      <x:c r="T174" s="327"/>
      <x:c r="U174" s="217"/>
      <x:c r="V174" s="203"/>
      <x:c r="W174" s="217"/>
      <x:c r="X174" s="217"/>
      <x:c r="Y174" s="162" t="str">
        <x:f t="shared" si="243"/>
        <x:v/>
      </x:c>
      <x:c r="Z174" s="45"/>
      <x:c r="AA174" s="471" t="str">
        <x:f t="shared" si="244"/>
        <x:v/>
      </x:c>
      <x:c r="AB174" s="471" t="str">
        <x:f t="shared" si="245"/>
        <x:v/>
      </x:c>
      <x:c r="AC174" s="471" t="str">
        <x:f t="shared" si="246"/>
        <x:v/>
      </x:c>
      <x:c r="AD174" s="471" t="str">
        <x:f t="shared" si="247"/>
        <x:v/>
      </x:c>
      <x:c r="AE174" s="46"/>
      <x:c r="AF174" s="471" t="str">
        <x:f t="shared" si="248"/>
        <x:v/>
      </x:c>
      <x:c r="AG174" s="471" t="str">
        <x:f t="shared" si="249"/>
        <x:v/>
      </x:c>
      <x:c r="AH174" s="471" t="str">
        <x:f t="shared" si="250"/>
        <x:v/>
      </x:c>
      <x:c r="AI174" s="471" t="str">
        <x:f t="shared" si="251"/>
        <x:v/>
      </x:c>
      <x:c r="AJ174" s="87"/>
      <x:c r="AK174" s="374" t="str">
        <x:f>IF($AQ174="","",IF(OR($AL174="",$AL174="도비"),"",CONCATENATE($AQ174,"-",COUNTIF($AQ$8:$AQ174,$AQ174))))</x:f>
        <x:v/>
      </x:c>
      <x:c r="AL174" s="374" t="str">
        <x:f t="shared" si="252"/>
        <x:v/>
      </x:c>
      <x:c r="AM174" s="87"/>
      <x:c r="AN174" s="375" t="str">
        <x:f>IF($AQ174="","",IF(OR($AO174="",$AO174="국비",$AO174="자체"),"",CONCATENATE($AQ174,"-",$AO174,"-",COUNTIF($AQ$8:$AQ174,$AQ174))))</x:f>
        <x:v/>
      </x:c>
      <x:c r="AO174" s="375" t="str">
        <x:f t="shared" si="253"/>
        <x:v/>
      </x:c>
      <x:c r="AP174" s="87"/>
      <x:c r="AQ174" s="374" t="str">
        <x:f t="array" ref="AQ174:AQ174">IF(OR($D174="",$C174="직접입력",$B174="직접입력"),"",INDEX(구분표!$I$2:$I$337,MATCH(1,(구분표!$G$2:$G$337='3. 일입'!$B174)*(구분표!$E$2:$E$337='3. 일입'!$C174)*(구분표!$F$2:$F$337='3. 일입'!$D174),0)))</x:f>
        <x:v/>
      </x:c>
      <x:c r="AR174" s="87"/>
      <x:c r="AS174" s="472" t="str">
        <x:f>IF($AK174="","",SUMIFS('3. 일출(의존)'!$AB$7:$AB$1989,'3. 일출(의존)'!$AN$7:$AN$1989,$AK174))</x:f>
        <x:v/>
      </x:c>
      <x:c r="AT174" s="377" t="str">
        <x:f>IF($AK174="","",COUNTIF('3. 일출(의존)'!$AN$7:$AN$1989,$AK174))</x:f>
        <x:v/>
      </x:c>
      <x:c r="AU174" s="374" t="str">
        <x:f t="shared" si="254"/>
        <x:v/>
      </x:c>
      <x:c r="AV174" s="472" t="str">
        <x:f>IF($AN174="","",IF($AO174="지역개발기금",SUMIFS('3. 일출(의존)'!$AE$8:$AE$2000,'3. 일출(의존)'!$AS$8:$AS$2000,$AN174)+SUMIFS('3. 일출(자체)'!$AE$8:$AE$2000,'3. 일출(자체)'!$AM$8:$AM$2000,$AN174),IF($AO174="지방채",SUMIFS('3. 일출(의존)'!$AD$8:$AD$2000,'3. 일출(의존)'!$AS$8:$AS$2000,$AN174)+SUMIFS('3. 일출(자체)'!$AD$8:$AD$2000,'3. 일출(자체)'!$AM$8:$AM$2000,$AN174),0)))</x:f>
        <x:v/>
      </x:c>
      <x:c r="AW174" s="377" t="str">
        <x:f>IF($AN174="","",COUNTIF('3. 일출(의존)'!$AS$8:$AS$2000,$AN174)+COUNTIF('3. 일출(자체)'!$AM$8:$AM$2000,$AN174))</x:f>
        <x:v/>
      </x:c>
      <x:c r="AX174" s="374" t="str">
        <x:f t="shared" si="255"/>
        <x:v/>
      </x:c>
      <x:c r="AY174" s="91"/>
      <x:c r="AZ174" s="472" t="str">
        <x:f>IF($AK174="","",SUMIFS('3. 일출(의존)'!$AH$8:$AH$1989,'3. 일출(의존)'!$AN$8:$AN$1989,$AK174))</x:f>
        <x:v/>
      </x:c>
      <x:c r="BA174" s="377" t="str">
        <x:f>IF($AK174="","",COUNTIF('3. 일출(의존)'!$AN$7:$AN$1989,$AK174))</x:f>
        <x:v/>
      </x:c>
      <x:c r="BB174" s="374" t="str">
        <x:f t="shared" si="256"/>
        <x:v/>
      </x:c>
      <x:c r="BC174" s="472" t="str">
        <x:f>IF($AN174="","",IF($AO174="지역개발기금",SUMIFS('3. 일출(의존)'!$AK$8:$AK$2000,'3. 일출(의존)'!$AS$8:$AS$2000,$AN174)+SUMIFS('3. 일출(자체)'!$AJ$8:$AJ$2000,'3. 일출(자체)'!$AM$8:$AM$2000,$AN174),IF($AO174="지방채",SUMIFS('3. 일출(의존)'!$AJ$8:$AJ$2000,'3. 일출(의존)'!$AS$8:$AS$2000,$AN174)+SUMIFS('3. 일출(자체)'!$AI$8:$AI$2000,'3. 일출(자체)'!$AM$8:$AM$2000,$AN174),0)))</x:f>
        <x:v/>
      </x:c>
      <x:c r="BD174" s="377" t="str">
        <x:f>IF($AN174="","",COUNTIF('3. 일출(의존)'!$AS$8:$AS$2000,$AN174)+COUNTIF('3. 일출(자체)'!$AM$8:$AM$2000,$AN174))</x:f>
        <x:v/>
      </x:c>
      <x:c r="BE174" s="374" t="str">
        <x:f t="shared" si="257"/>
        <x:v/>
      </x:c>
    </x:row>
    <x:row r="175" spans="1:57" s="20" customFormat="1" ht="80.099999999999994" customHeight="1">
      <x:c r="A175" s="155" t="str">
        <x:f>IF(D175="","",COUNTA($C$8:C175)-COUNTBLANK($C$8:C175)+10)</x:f>
        <x:v/>
      </x:c>
      <x:c r="B175" s="156" t="str">
        <x: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x:f>
        <x:v/>
      </x:c>
      <x:c r="C175" s="156" t="str">
        <x:f>IF(D175="","",IF(OR(D175="교육지원과",D175="총무과",D175="인사과"),"직접입력",VLOOKUP(D175,구분표!$A$3:$C$258,3,)))</x:f>
        <x:v/>
      </x:c>
      <x:c r="D175" s="219"/>
      <x:c r="E175" s="213"/>
      <x:c r="F175" s="388" t="str">
        <x:f t="shared" si="258"/>
        <x:v/>
      </x:c>
      <x:c r="G175" s="388" t="str">
        <x:f t="shared" si="258"/>
        <x:v/>
      </x:c>
      <x:c r="H175" s="213"/>
      <x:c r="I175" s="156" t="str">
        <x:f>IF(H175="","",VLOOKUP($H175,구분표!$O$3:$P$168,2,FALSE))</x:f>
        <x:v/>
      </x:c>
      <x:c r="J175" s="215"/>
      <x:c r="K175" s="459" t="str">
        <x:f t="shared" si="259"/>
        <x:v/>
      </x:c>
      <x:c r="L175" s="459" t="str">
        <x:f t="shared" si="260"/>
        <x:v/>
      </x:c>
      <x:c r="M175" s="461" t="str">
        <x:f t="shared" si="239"/>
        <x:v/>
      </x:c>
      <x:c r="N175" s="460"/>
      <x:c r="O175" s="461">
        <x:f t="shared" si="240"/>
        <x:v>0</x:v>
      </x:c>
      <x:c r="P175" s="462"/>
      <x:c r="Q175" s="463">
        <x:f t="shared" si="241"/>
        <x:v>0</x:v>
      </x:c>
      <x:c r="R175" s="162" t="str">
        <x:f t="shared" si="242"/>
        <x:v>X</x:v>
      </x:c>
      <x:c r="S175" s="216"/>
      <x:c r="T175" s="327"/>
      <x:c r="U175" s="217"/>
      <x:c r="V175" s="203"/>
      <x:c r="W175" s="217"/>
      <x:c r="X175" s="217"/>
      <x:c r="Y175" s="162" t="str">
        <x:f t="shared" si="243"/>
        <x:v/>
      </x:c>
      <x:c r="Z175" s="45"/>
      <x:c r="AA175" s="471" t="str">
        <x:f t="shared" si="244"/>
        <x:v/>
      </x:c>
      <x:c r="AB175" s="471" t="str">
        <x:f t="shared" si="245"/>
        <x:v/>
      </x:c>
      <x:c r="AC175" s="471" t="str">
        <x:f t="shared" si="246"/>
        <x:v/>
      </x:c>
      <x:c r="AD175" s="471" t="str">
        <x:f t="shared" si="247"/>
        <x:v/>
      </x:c>
      <x:c r="AE175" s="46"/>
      <x:c r="AF175" s="471" t="str">
        <x:f t="shared" si="248"/>
        <x:v/>
      </x:c>
      <x:c r="AG175" s="471" t="str">
        <x:f t="shared" si="249"/>
        <x:v/>
      </x:c>
      <x:c r="AH175" s="471" t="str">
        <x:f t="shared" si="250"/>
        <x:v/>
      </x:c>
      <x:c r="AI175" s="471" t="str">
        <x:f t="shared" si="251"/>
        <x:v/>
      </x:c>
      <x:c r="AJ175" s="87"/>
      <x:c r="AK175" s="374" t="str">
        <x:f>IF($AQ175="","",IF(OR($AL175="",$AL175="도비"),"",CONCATENATE($AQ175,"-",COUNTIF($AQ$8:$AQ175,$AQ175))))</x:f>
        <x:v/>
      </x:c>
      <x:c r="AL175" s="374" t="str">
        <x:f t="shared" si="252"/>
        <x:v/>
      </x:c>
      <x:c r="AM175" s="87"/>
      <x:c r="AN175" s="375" t="str">
        <x:f>IF($AQ175="","",IF(OR($AO175="",$AO175="국비",$AO175="자체"),"",CONCATENATE($AQ175,"-",$AO175,"-",COUNTIF($AQ$8:$AQ175,$AQ175))))</x:f>
        <x:v/>
      </x:c>
      <x:c r="AO175" s="375" t="str">
        <x:f t="shared" si="253"/>
        <x:v/>
      </x:c>
      <x:c r="AP175" s="87"/>
      <x:c r="AQ175" s="374" t="str">
        <x:f t="array" ref="AQ175:AQ175">IF(OR($D175="",$C175="직접입력",$B175="직접입력"),"",INDEX(구분표!$I$2:$I$337,MATCH(1,(구분표!$G$2:$G$337='3. 일입'!$B175)*(구분표!$E$2:$E$337='3. 일입'!$C175)*(구분표!$F$2:$F$337='3. 일입'!$D175),0)))</x:f>
        <x:v/>
      </x:c>
      <x:c r="AR175" s="87"/>
      <x:c r="AS175" s="472" t="str">
        <x:f>IF($AK175="","",SUMIFS('3. 일출(의존)'!$AB$7:$AB$1989,'3. 일출(의존)'!$AN$7:$AN$1989,$AK175))</x:f>
        <x:v/>
      </x:c>
      <x:c r="AT175" s="377" t="str">
        <x:f>IF($AK175="","",COUNTIF('3. 일출(의존)'!$AN$7:$AN$1989,$AK175))</x:f>
        <x:v/>
      </x:c>
      <x:c r="AU175" s="374" t="str">
        <x:f t="shared" si="254"/>
        <x:v/>
      </x:c>
      <x:c r="AV175" s="472" t="str">
        <x:f>IF($AN175="","",IF($AO175="지역개발기금",SUMIFS('3. 일출(의존)'!$AE$8:$AE$2000,'3. 일출(의존)'!$AS$8:$AS$2000,$AN175)+SUMIFS('3. 일출(자체)'!$AE$8:$AE$2000,'3. 일출(자체)'!$AM$8:$AM$2000,$AN175),IF($AO175="지방채",SUMIFS('3. 일출(의존)'!$AD$8:$AD$2000,'3. 일출(의존)'!$AS$8:$AS$2000,$AN175)+SUMIFS('3. 일출(자체)'!$AD$8:$AD$2000,'3. 일출(자체)'!$AM$8:$AM$2000,$AN175),0)))</x:f>
        <x:v/>
      </x:c>
      <x:c r="AW175" s="377" t="str">
        <x:f>IF($AN175="","",COUNTIF('3. 일출(의존)'!$AS$8:$AS$2000,$AN175)+COUNTIF('3. 일출(자체)'!$AM$8:$AM$2000,$AN175))</x:f>
        <x:v/>
      </x:c>
      <x:c r="AX175" s="374" t="str">
        <x:f t="shared" si="255"/>
        <x:v/>
      </x:c>
      <x:c r="AY175" s="91"/>
      <x:c r="AZ175" s="472" t="str">
        <x:f>IF($AK175="","",SUMIFS('3. 일출(의존)'!$AH$8:$AH$1989,'3. 일출(의존)'!$AN$8:$AN$1989,$AK175))</x:f>
        <x:v/>
      </x:c>
      <x:c r="BA175" s="377" t="str">
        <x:f>IF($AK175="","",COUNTIF('3. 일출(의존)'!$AN$7:$AN$1989,$AK175))</x:f>
        <x:v/>
      </x:c>
      <x:c r="BB175" s="374" t="str">
        <x:f t="shared" si="256"/>
        <x:v/>
      </x:c>
      <x:c r="BC175" s="472" t="str">
        <x:f>IF($AN175="","",IF($AO175="지역개발기금",SUMIFS('3. 일출(의존)'!$AK$8:$AK$2000,'3. 일출(의존)'!$AS$8:$AS$2000,$AN175)+SUMIFS('3. 일출(자체)'!$AJ$8:$AJ$2000,'3. 일출(자체)'!$AM$8:$AM$2000,$AN175),IF($AO175="지방채",SUMIFS('3. 일출(의존)'!$AJ$8:$AJ$2000,'3. 일출(의존)'!$AS$8:$AS$2000,$AN175)+SUMIFS('3. 일출(자체)'!$AI$8:$AI$2000,'3. 일출(자체)'!$AM$8:$AM$2000,$AN175),0)))</x:f>
        <x:v/>
      </x:c>
      <x:c r="BD175" s="377" t="str">
        <x:f>IF($AN175="","",COUNTIF('3. 일출(의존)'!$AS$8:$AS$2000,$AN175)+COUNTIF('3. 일출(자체)'!$AM$8:$AM$2000,$AN175))</x:f>
        <x:v/>
      </x:c>
      <x:c r="BE175" s="374" t="str">
        <x:f t="shared" si="257"/>
        <x:v/>
      </x:c>
    </x:row>
    <x:row r="176" spans="1:57" s="20" customFormat="1" ht="80.099999999999994" customHeight="1">
      <x:c r="A176" s="155" t="str">
        <x:f>IF(D176="","",COUNTA($C$8:C176)-COUNTBLANK($C$8:C176)+10)</x:f>
        <x:v/>
      </x:c>
      <x:c r="B176" s="156" t="str">
        <x: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x:f>
        <x:v/>
      </x:c>
      <x:c r="C176" s="156" t="str">
        <x:f>IF(D176="","",IF(OR(D176="교육지원과",D176="총무과",D176="인사과"),"직접입력",VLOOKUP(D176,구분표!$A$3:$C$258,3,)))</x:f>
        <x:v/>
      </x:c>
      <x:c r="D176" s="219"/>
      <x:c r="E176" s="213"/>
      <x:c r="F176" s="388" t="str">
        <x:f t="shared" si="258"/>
        <x:v/>
      </x:c>
      <x:c r="G176" s="388" t="str">
        <x:f t="shared" si="258"/>
        <x:v/>
      </x:c>
      <x:c r="H176" s="213"/>
      <x:c r="I176" s="156" t="str">
        <x:f>IF(H176="","",VLOOKUP($H176,구분표!$O$3:$P$168,2,FALSE))</x:f>
        <x:v/>
      </x:c>
      <x:c r="J176" s="215"/>
      <x:c r="K176" s="459" t="str">
        <x:f t="shared" si="259"/>
        <x:v/>
      </x:c>
      <x:c r="L176" s="459" t="str">
        <x:f t="shared" si="260"/>
        <x:v/>
      </x:c>
      <x:c r="M176" s="461" t="str">
        <x:f t="shared" si="239"/>
        <x:v/>
      </x:c>
      <x:c r="N176" s="460"/>
      <x:c r="O176" s="461">
        <x:f t="shared" si="240"/>
        <x:v>0</x:v>
      </x:c>
      <x:c r="P176" s="462"/>
      <x:c r="Q176" s="463">
        <x:f t="shared" si="241"/>
        <x:v>0</x:v>
      </x:c>
      <x:c r="R176" s="162" t="str">
        <x:f t="shared" si="242"/>
        <x:v>X</x:v>
      </x:c>
      <x:c r="S176" s="216"/>
      <x:c r="T176" s="327"/>
      <x:c r="U176" s="217"/>
      <x:c r="V176" s="203"/>
      <x:c r="W176" s="217"/>
      <x:c r="X176" s="217"/>
      <x:c r="Y176" s="162" t="str">
        <x:f t="shared" si="243"/>
        <x:v/>
      </x:c>
      <x:c r="Z176" s="45"/>
      <x:c r="AA176" s="471" t="str">
        <x:f t="shared" si="244"/>
        <x:v/>
      </x:c>
      <x:c r="AB176" s="471" t="str">
        <x:f t="shared" si="245"/>
        <x:v/>
      </x:c>
      <x:c r="AC176" s="471" t="str">
        <x:f t="shared" si="246"/>
        <x:v/>
      </x:c>
      <x:c r="AD176" s="471" t="str">
        <x:f t="shared" si="247"/>
        <x:v/>
      </x:c>
      <x:c r="AE176" s="46"/>
      <x:c r="AF176" s="471" t="str">
        <x:f t="shared" si="248"/>
        <x:v/>
      </x:c>
      <x:c r="AG176" s="471" t="str">
        <x:f t="shared" si="249"/>
        <x:v/>
      </x:c>
      <x:c r="AH176" s="471" t="str">
        <x:f t="shared" si="250"/>
        <x:v/>
      </x:c>
      <x:c r="AI176" s="471" t="str">
        <x:f t="shared" si="251"/>
        <x:v/>
      </x:c>
      <x:c r="AJ176" s="87"/>
      <x:c r="AK176" s="374" t="str">
        <x:f>IF($AQ176="","",IF(OR($AL176="",$AL176="도비"),"",CONCATENATE($AQ176,"-",COUNTIF($AQ$8:$AQ176,$AQ176))))</x:f>
        <x:v/>
      </x:c>
      <x:c r="AL176" s="374" t="str">
        <x:f t="shared" si="252"/>
        <x:v/>
      </x:c>
      <x:c r="AM176" s="87"/>
      <x:c r="AN176" s="375" t="str">
        <x:f>IF($AQ176="","",IF(OR($AO176="",$AO176="국비",$AO176="자체"),"",CONCATENATE($AQ176,"-",$AO176,"-",COUNTIF($AQ$8:$AQ176,$AQ176))))</x:f>
        <x:v/>
      </x:c>
      <x:c r="AO176" s="375" t="str">
        <x:f t="shared" si="253"/>
        <x:v/>
      </x:c>
      <x:c r="AP176" s="87"/>
      <x:c r="AQ176" s="374" t="str">
        <x:f t="array" ref="AQ176:AQ176">IF(OR($D176="",$C176="직접입력",$B176="직접입력"),"",INDEX(구분표!$I$2:$I$337,MATCH(1,(구분표!$G$2:$G$337='3. 일입'!$B176)*(구분표!$E$2:$E$337='3. 일입'!$C176)*(구분표!$F$2:$F$337='3. 일입'!$D176),0)))</x:f>
        <x:v/>
      </x:c>
      <x:c r="AR176" s="87"/>
      <x:c r="AS176" s="472" t="str">
        <x:f>IF($AK176="","",SUMIFS('3. 일출(의존)'!$AB$7:$AB$1989,'3. 일출(의존)'!$AN$7:$AN$1989,$AK176))</x:f>
        <x:v/>
      </x:c>
      <x:c r="AT176" s="377" t="str">
        <x:f>IF($AK176="","",COUNTIF('3. 일출(의존)'!$AN$7:$AN$1989,$AK176))</x:f>
        <x:v/>
      </x:c>
      <x:c r="AU176" s="374" t="str">
        <x:f t="shared" si="254"/>
        <x:v/>
      </x:c>
      <x:c r="AV176" s="472" t="str">
        <x:f>IF($AN176="","",IF($AO176="지역개발기금",SUMIFS('3. 일출(의존)'!$AE$8:$AE$2000,'3. 일출(의존)'!$AS$8:$AS$2000,$AN176)+SUMIFS('3. 일출(자체)'!$AE$8:$AE$2000,'3. 일출(자체)'!$AM$8:$AM$2000,$AN176),IF($AO176="지방채",SUMIFS('3. 일출(의존)'!$AD$8:$AD$2000,'3. 일출(의존)'!$AS$8:$AS$2000,$AN176)+SUMIFS('3. 일출(자체)'!$AD$8:$AD$2000,'3. 일출(자체)'!$AM$8:$AM$2000,$AN176),0)))</x:f>
        <x:v/>
      </x:c>
      <x:c r="AW176" s="377" t="str">
        <x:f>IF($AN176="","",COUNTIF('3. 일출(의존)'!$AS$8:$AS$2000,$AN176)+COUNTIF('3. 일출(자체)'!$AM$8:$AM$2000,$AN176))</x:f>
        <x:v/>
      </x:c>
      <x:c r="AX176" s="374" t="str">
        <x:f t="shared" si="255"/>
        <x:v/>
      </x:c>
      <x:c r="AY176" s="91"/>
      <x:c r="AZ176" s="472" t="str">
        <x:f>IF($AK176="","",SUMIFS('3. 일출(의존)'!$AH$8:$AH$1989,'3. 일출(의존)'!$AN$8:$AN$1989,$AK176))</x:f>
        <x:v/>
      </x:c>
      <x:c r="BA176" s="377" t="str">
        <x:f>IF($AK176="","",COUNTIF('3. 일출(의존)'!$AN$7:$AN$1989,$AK176))</x:f>
        <x:v/>
      </x:c>
      <x:c r="BB176" s="374" t="str">
        <x:f t="shared" si="256"/>
        <x:v/>
      </x:c>
      <x:c r="BC176" s="472" t="str">
        <x:f>IF($AN176="","",IF($AO176="지역개발기금",SUMIFS('3. 일출(의존)'!$AK$8:$AK$2000,'3. 일출(의존)'!$AS$8:$AS$2000,$AN176)+SUMIFS('3. 일출(자체)'!$AJ$8:$AJ$2000,'3. 일출(자체)'!$AM$8:$AM$2000,$AN176),IF($AO176="지방채",SUMIFS('3. 일출(의존)'!$AJ$8:$AJ$2000,'3. 일출(의존)'!$AS$8:$AS$2000,$AN176)+SUMIFS('3. 일출(자체)'!$AI$8:$AI$2000,'3. 일출(자체)'!$AM$8:$AM$2000,$AN176),0)))</x:f>
        <x:v/>
      </x:c>
      <x:c r="BD176" s="377" t="str">
        <x:f>IF($AN176="","",COUNTIF('3. 일출(의존)'!$AS$8:$AS$2000,$AN176)+COUNTIF('3. 일출(자체)'!$AM$8:$AM$2000,$AN176))</x:f>
        <x:v/>
      </x:c>
      <x:c r="BE176" s="374" t="str">
        <x:f t="shared" si="257"/>
        <x:v/>
      </x:c>
    </x:row>
    <x:row r="177" spans="1:57" s="20" customFormat="1" ht="80.099999999999994" customHeight="1">
      <x:c r="A177" s="155" t="str">
        <x:f>IF(D177="","",COUNTA($C$8:C177)-COUNTBLANK($C$8:C177)+10)</x:f>
        <x:v/>
      </x:c>
      <x:c r="B177" s="156" t="str">
        <x: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x:f>
        <x:v/>
      </x:c>
      <x:c r="C177" s="156" t="str">
        <x:f>IF(D177="","",IF(OR(D177="교육지원과",D177="총무과",D177="인사과"),"직접입력",VLOOKUP(D177,구분표!$A$3:$C$258,3,)))</x:f>
        <x:v/>
      </x:c>
      <x:c r="D177" s="219"/>
      <x:c r="E177" s="213"/>
      <x:c r="F177" s="388" t="str">
        <x:f t="shared" si="258"/>
        <x:v/>
      </x:c>
      <x:c r="G177" s="388" t="str">
        <x:f t="shared" si="258"/>
        <x:v/>
      </x:c>
      <x:c r="H177" s="213"/>
      <x:c r="I177" s="156" t="str">
        <x:f>IF(H177="","",VLOOKUP($H177,구분표!$O$3:$P$168,2,FALSE))</x:f>
        <x:v/>
      </x:c>
      <x:c r="J177" s="215"/>
      <x:c r="K177" s="459" t="str">
        <x:f t="shared" si="259"/>
        <x:v/>
      </x:c>
      <x:c r="L177" s="459" t="str">
        <x:f t="shared" si="260"/>
        <x:v/>
      </x:c>
      <x:c r="M177" s="461" t="str">
        <x:f t="shared" si="239"/>
        <x:v/>
      </x:c>
      <x:c r="N177" s="460"/>
      <x:c r="O177" s="461">
        <x:f t="shared" si="240"/>
        <x:v>0</x:v>
      </x:c>
      <x:c r="P177" s="462"/>
      <x:c r="Q177" s="463">
        <x:f t="shared" si="241"/>
        <x:v>0</x:v>
      </x:c>
      <x:c r="R177" s="162" t="str">
        <x:f t="shared" si="242"/>
        <x:v>X</x:v>
      </x:c>
      <x:c r="S177" s="216"/>
      <x:c r="T177" s="327"/>
      <x:c r="U177" s="217"/>
      <x:c r="V177" s="203"/>
      <x:c r="W177" s="217"/>
      <x:c r="X177" s="217"/>
      <x:c r="Y177" s="162" t="str">
        <x:f t="shared" si="243"/>
        <x:v/>
      </x:c>
      <x:c r="Z177" s="45"/>
      <x:c r="AA177" s="471" t="str">
        <x:f t="shared" si="244"/>
        <x:v/>
      </x:c>
      <x:c r="AB177" s="471" t="str">
        <x:f t="shared" si="245"/>
        <x:v/>
      </x:c>
      <x:c r="AC177" s="471" t="str">
        <x:f t="shared" si="246"/>
        <x:v/>
      </x:c>
      <x:c r="AD177" s="471" t="str">
        <x:f t="shared" si="247"/>
        <x:v/>
      </x:c>
      <x:c r="AE177" s="46"/>
      <x:c r="AF177" s="471" t="str">
        <x:f t="shared" si="248"/>
        <x:v/>
      </x:c>
      <x:c r="AG177" s="471" t="str">
        <x:f t="shared" si="249"/>
        <x:v/>
      </x:c>
      <x:c r="AH177" s="471" t="str">
        <x:f t="shared" si="250"/>
        <x:v/>
      </x:c>
      <x:c r="AI177" s="471" t="str">
        <x:f t="shared" si="251"/>
        <x:v/>
      </x:c>
      <x:c r="AJ177" s="87"/>
      <x:c r="AK177" s="374" t="str">
        <x:f>IF($AQ177="","",IF(OR($AL177="",$AL177="도비"),"",CONCATENATE($AQ177,"-",COUNTIF($AQ$8:$AQ177,$AQ177))))</x:f>
        <x:v/>
      </x:c>
      <x:c r="AL177" s="374" t="str">
        <x:f t="shared" si="252"/>
        <x:v/>
      </x:c>
      <x:c r="AM177" s="87"/>
      <x:c r="AN177" s="375" t="str">
        <x:f>IF($AQ177="","",IF(OR($AO177="",$AO177="국비",$AO177="자체"),"",CONCATENATE($AQ177,"-",$AO177,"-",COUNTIF($AQ$8:$AQ177,$AQ177))))</x:f>
        <x:v/>
      </x:c>
      <x:c r="AO177" s="375" t="str">
        <x:f t="shared" si="253"/>
        <x:v/>
      </x:c>
      <x:c r="AP177" s="87"/>
      <x:c r="AQ177" s="374" t="str">
        <x:f t="array" ref="AQ177:AQ177">IF(OR($D177="",$C177="직접입력",$B177="직접입력"),"",INDEX(구분표!$I$2:$I$337,MATCH(1,(구분표!$G$2:$G$337='3. 일입'!$B177)*(구분표!$E$2:$E$337='3. 일입'!$C177)*(구분표!$F$2:$F$337='3. 일입'!$D177),0)))</x:f>
        <x:v/>
      </x:c>
      <x:c r="AR177" s="87"/>
      <x:c r="AS177" s="472" t="str">
        <x:f>IF($AK177="","",SUMIFS('3. 일출(의존)'!$AB$7:$AB$1989,'3. 일출(의존)'!$AN$7:$AN$1989,$AK177))</x:f>
        <x:v/>
      </x:c>
      <x:c r="AT177" s="377" t="str">
        <x:f>IF($AK177="","",COUNTIF('3. 일출(의존)'!$AN$7:$AN$1989,$AK177))</x:f>
        <x:v/>
      </x:c>
      <x:c r="AU177" s="374" t="str">
        <x:f t="shared" si="254"/>
        <x:v/>
      </x:c>
      <x:c r="AV177" s="472" t="str">
        <x:f>IF($AN177="","",IF($AO177="지역개발기금",SUMIFS('3. 일출(의존)'!$AE$8:$AE$2000,'3. 일출(의존)'!$AS$8:$AS$2000,$AN177)+SUMIFS('3. 일출(자체)'!$AE$8:$AE$2000,'3. 일출(자체)'!$AM$8:$AM$2000,$AN177),IF($AO177="지방채",SUMIFS('3. 일출(의존)'!$AD$8:$AD$2000,'3. 일출(의존)'!$AS$8:$AS$2000,$AN177)+SUMIFS('3. 일출(자체)'!$AD$8:$AD$2000,'3. 일출(자체)'!$AM$8:$AM$2000,$AN177),0)))</x:f>
        <x:v/>
      </x:c>
      <x:c r="AW177" s="377" t="str">
        <x:f>IF($AN177="","",COUNTIF('3. 일출(의존)'!$AS$8:$AS$2000,$AN177)+COUNTIF('3. 일출(자체)'!$AM$8:$AM$2000,$AN177))</x:f>
        <x:v/>
      </x:c>
      <x:c r="AX177" s="374" t="str">
        <x:f t="shared" si="255"/>
        <x:v/>
      </x:c>
      <x:c r="AY177" s="91"/>
      <x:c r="AZ177" s="472" t="str">
        <x:f>IF($AK177="","",SUMIFS('3. 일출(의존)'!$AH$8:$AH$1989,'3. 일출(의존)'!$AN$8:$AN$1989,$AK177))</x:f>
        <x:v/>
      </x:c>
      <x:c r="BA177" s="377" t="str">
        <x:f>IF($AK177="","",COUNTIF('3. 일출(의존)'!$AN$7:$AN$1989,$AK177))</x:f>
        <x:v/>
      </x:c>
      <x:c r="BB177" s="374" t="str">
        <x:f t="shared" si="256"/>
        <x:v/>
      </x:c>
      <x:c r="BC177" s="472" t="str">
        <x:f>IF($AN177="","",IF($AO177="지역개발기금",SUMIFS('3. 일출(의존)'!$AK$8:$AK$2000,'3. 일출(의존)'!$AS$8:$AS$2000,$AN177)+SUMIFS('3. 일출(자체)'!$AJ$8:$AJ$2000,'3. 일출(자체)'!$AM$8:$AM$2000,$AN177),IF($AO177="지방채",SUMIFS('3. 일출(의존)'!$AJ$8:$AJ$2000,'3. 일출(의존)'!$AS$8:$AS$2000,$AN177)+SUMIFS('3. 일출(자체)'!$AI$8:$AI$2000,'3. 일출(자체)'!$AM$8:$AM$2000,$AN177),0)))</x:f>
        <x:v/>
      </x:c>
      <x:c r="BD177" s="377" t="str">
        <x:f>IF($AN177="","",COUNTIF('3. 일출(의존)'!$AS$8:$AS$2000,$AN177)+COUNTIF('3. 일출(자체)'!$AM$8:$AM$2000,$AN177))</x:f>
        <x:v/>
      </x:c>
      <x:c r="BE177" s="374" t="str">
        <x:f t="shared" si="257"/>
        <x:v/>
      </x:c>
    </x:row>
    <x:row r="178" spans="1:57" ht="60" customHeight="1">
      <x:c r="A178" s="212"/>
      <x:c r="B178" s="949" t="s">
        <x:v>1618</x:v>
      </x:c>
      <x:c r="C178" s="949"/>
      <x:c r="D178" s="949"/>
      <x:c r="E178" s="949"/>
      <x:c r="F178" s="949"/>
      <x:c r="G178" s="949"/>
      <x:c r="H178" s="212"/>
      <x:c r="I178" s="89"/>
      <x:c r="J178" s="409" t="str">
        <x:f>SUBTOTAL(3,J179:J194)&amp;"건"</x:f>
        <x:v>0건</x:v>
      </x:c>
      <x:c r="K178" s="458">
        <x:f t="shared" ref="K178:L178" si="261">SUBTOTAL(9,K179:K194)</x:f>
        <x:v>0</x:v>
      </x:c>
      <x:c r="L178" s="458">
        <x:f t="shared" si="261"/>
        <x:v>0</x:v>
      </x:c>
      <x:c r="M178" s="458">
        <x:f t="shared" ref="M178:Q178" si="262">SUBTOTAL(9,M179:M194)</x:f>
        <x:v>0</x:v>
      </x:c>
      <x:c r="N178" s="458">
        <x:f t="shared" si="262"/>
        <x:v>0</x:v>
      </x:c>
      <x:c r="O178" s="458">
        <x:f t="shared" si="262"/>
        <x:v>0</x:v>
      </x:c>
      <x:c r="P178" s="458">
        <x:f t="shared" si="262"/>
        <x:v>0</x:v>
      </x:c>
      <x:c r="Q178" s="458">
        <x:f t="shared" si="262"/>
        <x:v>0</x:v>
      </x:c>
      <x:c r="R178" s="78"/>
      <x:c r="S178" s="78"/>
      <x:c r="T178" s="78"/>
      <x:c r="U178" s="78"/>
      <x:c r="V178" s="88"/>
      <x:c r="W178" s="88"/>
      <x:c r="X178" s="88"/>
      <x:c r="Y178" s="90"/>
      <x:c r="Z178" s="43"/>
      <x:c r="AA178" s="470">
        <x:f>SUBTOTAL(9,AA179:AA194)</x:f>
        <x:v>0</x:v>
      </x:c>
      <x:c r="AB178" s="470">
        <x:f t="shared" ref="AB178:AD178" si="263">SUBTOTAL(9,AB179:AB194)</x:f>
        <x:v>0</x:v>
      </x:c>
      <x:c r="AC178" s="470">
        <x:f t="shared" si="263"/>
        <x:v>0</x:v>
      </x:c>
      <x:c r="AD178" s="470">
        <x:f t="shared" si="263"/>
        <x:v>0</x:v>
      </x:c>
      <x:c r="AE178" s="166"/>
      <x:c r="AF178" s="470">
        <x:f>SUBTOTAL(9,AF179:AF194)</x:f>
        <x:v>0</x:v>
      </x:c>
      <x:c r="AG178" s="470">
        <x:f t="shared" ref="AG178:AI178" si="264">SUBTOTAL(9,AG179:AG194)</x:f>
        <x:v>0</x:v>
      </x:c>
      <x:c r="AH178" s="470">
        <x:f t="shared" si="264"/>
        <x:v>0</x:v>
      </x:c>
      <x:c r="AI178" s="470">
        <x:f t="shared" si="264"/>
        <x:v>0</x:v>
      </x:c>
      <x:c r="AJ178" s="53"/>
      <x:c r="AK178" s="80"/>
      <x:c r="AL178" s="80"/>
      <x:c r="AM178" s="53"/>
      <x:c r="AN178" s="80"/>
      <x:c r="AO178" s="80"/>
      <x:c r="AP178" s="53"/>
      <x:c r="AQ178" s="80"/>
      <x:c r="AR178" s="53"/>
      <x:c r="AS178" s="470">
        <x:f>SUBTOTAL(9,AS179:AS194)</x:f>
        <x:v>0</x:v>
      </x:c>
      <x:c r="AT178" s="470">
        <x:f>SUBTOTAL(9,AT179:AT194)</x:f>
        <x:v>0</x:v>
      </x:c>
      <x:c r="AU178" s="554" t="str">
        <x:f>IF(COUNTIF(AU179:AU194,"@@")&gt;0,"@@","OK")</x:f>
        <x:v>OK</x:v>
      </x:c>
      <x:c r="AV178" s="470">
        <x:f>SUBTOTAL(9,AV179:AV194)</x:f>
        <x:v>0</x:v>
      </x:c>
      <x:c r="AW178" s="470">
        <x:f>SUBTOTAL(9,AW179:AW194)</x:f>
        <x:v>0</x:v>
      </x:c>
      <x:c r="AX178" s="554" t="str">
        <x:f>IF(COUNTIF(AX179:AX194,"@@")&gt;0,"@@","OK")</x:f>
        <x:v>OK</x:v>
      </x:c>
      <x:c r="AY178" s="53"/>
      <x:c r="AZ178" s="470">
        <x:f>SUBTOTAL(9,AZ179:AZ194)</x:f>
        <x:v>0</x:v>
      </x:c>
      <x:c r="BA178" s="470">
        <x:f>SUBTOTAL(9,BA179:BA194)</x:f>
        <x:v>0</x:v>
      </x:c>
      <x:c r="BB178" s="554" t="str">
        <x:f>IF(COUNTIF(BB179:BB194,"@@")&gt;0,"@@","OK")</x:f>
        <x:v>OK</x:v>
      </x:c>
      <x:c r="BC178" s="470">
        <x:f>SUBTOTAL(9,BC179:BC194)</x:f>
        <x:v>0</x:v>
      </x:c>
      <x:c r="BD178" s="470">
        <x:f>SUBTOTAL(9,BD179:BD194)</x:f>
        <x:v>0</x:v>
      </x:c>
      <x:c r="BE178" s="554" t="str">
        <x:f>IF(COUNTIF(BE179:BE194,"@@")&gt;0,"@@","OK")</x:f>
        <x:v>OK</x:v>
      </x:c>
    </x:row>
    <x:row r="179" spans="1:57" s="20" customFormat="1" ht="80.099999999999994" customHeight="1">
      <x:c r="A179" s="155" t="str">
        <x:f>IF(D179="","",COUNTA($C$8:C179)-COUNTBLANK($C$8:C179)+11)</x:f>
        <x:v/>
      </x:c>
      <x:c r="B179" s="156" t="str">
        <x: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x:f>
        <x:v/>
      </x:c>
      <x:c r="C179" s="156" t="str">
        <x:f>IF(D179="","",IF(OR(D179="교육지원과",D179="총무과",D179="인사과"),"직접입력",VLOOKUP(D179,구분표!$A$3:$C$258,3,)))</x:f>
        <x:v/>
      </x:c>
      <x:c r="D179" s="219"/>
      <x:c r="E179" s="213"/>
      <x:c r="F179" s="388" t="str">
        <x:f>IF($E179="","",IF($E179="2추","직접입력","-"))</x:f>
        <x:v/>
      </x:c>
      <x:c r="G179" s="388" t="str">
        <x:f>IF($E179="","",IF($E179="2추","직접입력","-"))</x:f>
        <x:v/>
      </x:c>
      <x:c r="H179" s="213"/>
      <x:c r="I179" s="156" t="str">
        <x:f>IF(H179="","",VLOOKUP($H179,구분표!$O$3:$P$168,2,FALSE))</x:f>
        <x:v/>
      </x:c>
      <x:c r="J179" s="215"/>
      <x:c r="K179" s="459" t="str">
        <x:f>IF($E179="","",IF(OR($E179="2추",$E179="1추",$E179="본예산"),"금액입력","-"))</x:f>
        <x:v/>
      </x:c>
      <x:c r="L179" s="459" t="str">
        <x:f>IF($E179="","",IF($E179="2추","금액입력","-"))</x:f>
        <x:v/>
      </x:c>
      <x:c r="M179" s="461" t="str">
        <x:f t="shared" ref="M179:M194" si="265">IF($E179="","",SUM(K179:L179))</x:f>
        <x:v/>
      </x:c>
      <x:c r="N179" s="460"/>
      <x:c r="O179" s="461">
        <x:f t="shared" ref="O179:O194" si="266">SUM(M179:N179)</x:f>
        <x:v>0</x:v>
      </x:c>
      <x:c r="P179" s="462"/>
      <x:c r="Q179" s="463">
        <x:f t="shared" ref="Q179:Q194" si="267">SUM(M179,P179)</x:f>
        <x:v>0</x:v>
      </x:c>
      <x:c r="R179" s="162" t="str">
        <x:f t="shared" ref="R179:R194" si="268">IF(AND((O179=0),(Q179&gt;0)),"O",IF(AND((N179&lt;0),(O179-Q179&lt;0)),"O","X"))</x:f>
        <x:v>X</x:v>
      </x:c>
      <x:c r="S179" s="216"/>
      <x:c r="T179" s="327"/>
      <x:c r="U179" s="217"/>
      <x:c r="V179" s="203"/>
      <x:c r="W179" s="217"/>
      <x:c r="X179" s="217"/>
      <x:c r="Y179" s="162" t="str">
        <x:f t="shared" ref="Y179:Y194" si="269">IF($H179="","",IF(OR($H179="511-01",$H179="511-02",$H179="511-03",$H179="311-02",$H179="311-04",$H179="321-01"),"국비","도비"))</x:f>
        <x:v/>
      </x:c>
      <x:c r="Z179" s="45"/>
      <x:c r="AA179" s="471" t="str">
        <x:f t="shared" ref="AA179:AA194" si="270">IF($Y179="국비",IF($N179&lt;&gt;"",$N179,0),"")</x:f>
        <x:v/>
      </x:c>
      <x:c r="AB179" s="471" t="str">
        <x:f t="shared" ref="AB179:AB194" si="271">IF($Y179="도비",IF($AO179="자체",IF($N179&lt;&gt;"",$N179,0),""),"")</x:f>
        <x:v/>
      </x:c>
      <x:c r="AC179" s="471" t="str">
        <x:f t="shared" ref="AC179:AC194" si="272">IF($Y179="도비",IF($AO179="지방채",IF($N179&lt;&gt;"",$N179,0),""),"")</x:f>
        <x:v/>
      </x:c>
      <x:c r="AD179" s="471" t="str">
        <x:f t="shared" ref="AD179:AD194" si="273">IF($Y179="도비",IF($AO179="지역개발기금",IF($N179&lt;&gt;"",$N179,0),""),"")</x:f>
        <x:v/>
      </x:c>
      <x:c r="AE179" s="46"/>
      <x:c r="AF179" s="471" t="str">
        <x:f t="shared" ref="AF179:AF194" si="274">IF($Y179="국비",IF($P179&lt;&gt;"",$P179,0),"")</x:f>
        <x:v/>
      </x:c>
      <x:c r="AG179" s="471" t="str">
        <x:f t="shared" ref="AG179:AG194" si="275">IF($Y179="도비",IF($AO179="자체",IF($P179&lt;&gt;"",$P179,0),""),"")</x:f>
        <x:v/>
      </x:c>
      <x:c r="AH179" s="471" t="str">
        <x:f t="shared" ref="AH179:AH194" si="276">IF($Y179="도비",IF($AO179="지방채",IF($P179&lt;&gt;"",$P179,0),""),"")</x:f>
        <x:v/>
      </x:c>
      <x:c r="AI179" s="471" t="str">
        <x:f t="shared" ref="AI179:AI194" si="277">IF($Y179="도비",IF($AO179="지역개발기금",IF($P179&lt;&gt;"",$P179,0),""),"")</x:f>
        <x:v/>
      </x:c>
      <x:c r="AJ179" s="87"/>
      <x:c r="AK179" s="374" t="str">
        <x:f>IF($AQ179="","",IF(OR($AL179="",$AL179="도비"),"",CONCATENATE($AQ179,"-",COUNTIF($AQ$8:$AQ179,$AQ179))))</x:f>
        <x:v/>
      </x:c>
      <x:c r="AL179" s="374" t="str">
        <x:f t="shared" ref="AL179:AL194" si="278">IF($H179="","",IF($H179="511-01","국비",IF($H179="511-02","균특",IF($H179="511-03","기금",IF($H179="311-02","특교",IF($H179="311-04","소교",IF($H179="321-01","소멸","도비")))))))</x:f>
        <x:v/>
      </x:c>
      <x:c r="AM179" s="87"/>
      <x:c r="AN179" s="375" t="str">
        <x:f>IF($AQ179="","",IF(OR($AO179="",$AO179="국비",$AO179="자체"),"",CONCATENATE($AQ179,"-",$AO179,"-",COUNTIF($AQ$8:$AQ179,$AQ179))))</x:f>
        <x:v/>
      </x:c>
      <x:c r="AO179" s="375" t="str">
        <x:f t="shared" ref="AO179:AO194" si="279">IF($Y179="","",IF($Y179="국비","국비",IF($H179="612-01","지방채",IF($H179="722-02","지역개발기금","자체"))))</x:f>
        <x:v/>
      </x:c>
      <x:c r="AP179" s="87"/>
      <x:c r="AQ179" s="374" t="str">
        <x:f t="array" ref="AQ179:AQ179">IF(OR($D179="",$C179="직접입력",$B179="직접입력"),"",INDEX(구분표!$I$2:$I$337,MATCH(1,(구분표!$G$2:$G$337='3. 일입'!$B179)*(구분표!$E$2:$E$337='3. 일입'!$C179)*(구분표!$F$2:$F$337='3. 일입'!$D179),0)))</x:f>
        <x:v/>
      </x:c>
      <x:c r="AR179" s="87"/>
      <x:c r="AS179" s="472" t="str">
        <x:f>IF($AK179="","",SUMIFS('3. 일출(의존)'!$AB$7:$AB$1989,'3. 일출(의존)'!$AN$7:$AN$1989,$AK179))</x:f>
        <x:v/>
      </x:c>
      <x:c r="AT179" s="377" t="str">
        <x:f>IF($AK179="","",COUNTIF('3. 일출(의존)'!$AN$7:$AN$1989,$AK179))</x:f>
        <x:v/>
      </x:c>
      <x:c r="AU179" s="374" t="str">
        <x:f t="shared" ref="AU179:AU194" si="280">IF($AK179="","",IF($AA179=$AS179,"OK","@@"))</x:f>
        <x:v/>
      </x:c>
      <x:c r="AV179" s="472" t="str">
        <x:f>IF($AN179="","",IF($AO179="지역개발기금",SUMIFS('3. 일출(의존)'!$AE$8:$AE$2000,'3. 일출(의존)'!$AS$8:$AS$2000,$AN179)+SUMIFS('3. 일출(자체)'!$AE$8:$AE$2000,'3. 일출(자체)'!$AM$8:$AM$2000,$AN179),IF($AO179="지방채",SUMIFS('3. 일출(의존)'!$AD$8:$AD$2000,'3. 일출(의존)'!$AS$8:$AS$2000,$AN179)+SUMIFS('3. 일출(자체)'!$AD$8:$AD$2000,'3. 일출(자체)'!$AM$8:$AM$2000,$AN179),0)))</x:f>
        <x:v/>
      </x:c>
      <x:c r="AW179" s="377" t="str">
        <x:f>IF($AN179="","",COUNTIF('3. 일출(의존)'!$AS$8:$AS$2000,$AN179)+COUNTIF('3. 일출(자체)'!$AM$8:$AM$2000,$AN179))</x:f>
        <x:v/>
      </x:c>
      <x:c r="AX179" s="374" t="str">
        <x:f t="shared" ref="AX179:AX194" si="281">IF($AN179="","",IF($AO179="자체","",IF($AO179="지방채",IF($AC179=$AV179,"OK","@@"),IF($AO179="지역개발기금",IF($AD179=$AV179,"OK","@@"),"@@"))))</x:f>
        <x:v/>
      </x:c>
      <x:c r="AY179" s="91"/>
      <x:c r="AZ179" s="472" t="str">
        <x:f>IF($AK179="","",SUMIFS('3. 일출(의존)'!$AH$8:$AH$1989,'3. 일출(의존)'!$AN$8:$AN$1989,$AK179))</x:f>
        <x:v/>
      </x:c>
      <x:c r="BA179" s="377" t="str">
        <x:f>IF($AK179="","",COUNTIF('3. 일출(의존)'!$AN$7:$AN$1989,$AK179))</x:f>
        <x:v/>
      </x:c>
      <x:c r="BB179" s="374" t="str">
        <x:f t="shared" ref="BB179:BB194" si="282">IF($AK179="","",IF($AF179=$AZ179,"OK","@@"))</x:f>
        <x:v/>
      </x:c>
      <x:c r="BC179" s="472" t="str">
        <x:f>IF($AN179="","",IF($AO179="지역개발기금",SUMIFS('3. 일출(의존)'!$AK$8:$AK$2000,'3. 일출(의존)'!$AS$8:$AS$2000,$AN179)+SUMIFS('3. 일출(자체)'!$AJ$8:$AJ$2000,'3. 일출(자체)'!$AM$8:$AM$2000,$AN179),IF($AO179="지방채",SUMIFS('3. 일출(의존)'!$AJ$8:$AJ$2000,'3. 일출(의존)'!$AS$8:$AS$2000,$AN179)+SUMIFS('3. 일출(자체)'!$AI$8:$AI$2000,'3. 일출(자체)'!$AM$8:$AM$2000,$AN179),0)))</x:f>
        <x:v/>
      </x:c>
      <x:c r="BD179" s="377" t="str">
        <x:f>IF($AN179="","",COUNTIF('3. 일출(의존)'!$AS$8:$AS$2000,$AN179)+COUNTIF('3. 일출(자체)'!$AM$8:$AM$2000,$AN179))</x:f>
        <x:v/>
      </x:c>
      <x:c r="BE179" s="374" t="str">
        <x:f t="shared" ref="BE179:BE194" si="283">IF($AN179="","",IF($AO179="자체","",IF($AO179="지방채",IF($AH179=$BC179,"OK","@@"),IF($AO179="지역개발기금",IF($AI179=$BC179,"OK","@@"),"@@"))))</x:f>
        <x:v/>
      </x:c>
    </x:row>
    <x:row r="180" spans="1:57" s="20" customFormat="1" ht="80.099999999999994" customHeight="1">
      <x:c r="A180" s="155" t="str">
        <x:f>IF(D180="","",COUNTA($C$8:C180)-COUNTBLANK($C$8:C180)+11)</x:f>
        <x:v/>
      </x:c>
      <x:c r="B180" s="156" t="str">
        <x: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x:f>
        <x:v/>
      </x:c>
      <x:c r="C180" s="156" t="str">
        <x:f>IF(D180="","",IF(OR(D180="교육지원과",D180="총무과",D180="인사과"),"직접입력",VLOOKUP(D180,구분표!$A$3:$C$258,3,)))</x:f>
        <x:v/>
      </x:c>
      <x:c r="D180" s="219"/>
      <x:c r="E180" s="213"/>
      <x:c r="F180" s="388" t="str">
        <x:f t="shared" ref="F180:G194" si="284">IF($E180="","",IF($E180="2추","직접입력","-"))</x:f>
        <x:v/>
      </x:c>
      <x:c r="G180" s="388" t="str">
        <x:f t="shared" si="284"/>
        <x:v/>
      </x:c>
      <x:c r="H180" s="213"/>
      <x:c r="I180" s="156" t="str">
        <x:f>IF(H180="","",VLOOKUP($H180,구분표!$O$3:$P$168,2,FALSE))</x:f>
        <x:v/>
      </x:c>
      <x:c r="J180" s="215"/>
      <x:c r="K180" s="459" t="str">
        <x:f t="shared" ref="K180:K194" si="285">IF($E180="","",IF(OR($E180="2추",$E180="1추",$E180="본예산"),"금액입력","-"))</x:f>
        <x:v/>
      </x:c>
      <x:c r="L180" s="459" t="str">
        <x:f t="shared" ref="L180:L194" si="286">IF($E180="","",IF($E180="2추","금액입력","-"))</x:f>
        <x:v/>
      </x:c>
      <x:c r="M180" s="461" t="str">
        <x:f t="shared" si="265"/>
        <x:v/>
      </x:c>
      <x:c r="N180" s="460"/>
      <x:c r="O180" s="461">
        <x:f t="shared" si="266"/>
        <x:v>0</x:v>
      </x:c>
      <x:c r="P180" s="462"/>
      <x:c r="Q180" s="463">
        <x:f t="shared" si="267"/>
        <x:v>0</x:v>
      </x:c>
      <x:c r="R180" s="162" t="str">
        <x:f t="shared" si="268"/>
        <x:v>X</x:v>
      </x:c>
      <x:c r="S180" s="216"/>
      <x:c r="T180" s="327"/>
      <x:c r="U180" s="217"/>
      <x:c r="V180" s="203"/>
      <x:c r="W180" s="217"/>
      <x:c r="X180" s="217"/>
      <x:c r="Y180" s="162" t="str">
        <x:f t="shared" si="269"/>
        <x:v/>
      </x:c>
      <x:c r="Z180" s="45"/>
      <x:c r="AA180" s="471" t="str">
        <x:f t="shared" si="270"/>
        <x:v/>
      </x:c>
      <x:c r="AB180" s="471" t="str">
        <x:f t="shared" si="271"/>
        <x:v/>
      </x:c>
      <x:c r="AC180" s="471" t="str">
        <x:f t="shared" si="272"/>
        <x:v/>
      </x:c>
      <x:c r="AD180" s="471" t="str">
        <x:f t="shared" si="273"/>
        <x:v/>
      </x:c>
      <x:c r="AE180" s="46"/>
      <x:c r="AF180" s="471" t="str">
        <x:f t="shared" si="274"/>
        <x:v/>
      </x:c>
      <x:c r="AG180" s="471" t="str">
        <x:f t="shared" si="275"/>
        <x:v/>
      </x:c>
      <x:c r="AH180" s="471" t="str">
        <x:f t="shared" si="276"/>
        <x:v/>
      </x:c>
      <x:c r="AI180" s="471" t="str">
        <x:f t="shared" si="277"/>
        <x:v/>
      </x:c>
      <x:c r="AJ180" s="87"/>
      <x:c r="AK180" s="374" t="str">
        <x:f>IF($AQ180="","",IF(OR($AL180="",$AL180="도비"),"",CONCATENATE($AQ180,"-",COUNTIF($AQ$8:$AQ180,$AQ180))))</x:f>
        <x:v/>
      </x:c>
      <x:c r="AL180" s="374" t="str">
        <x:f t="shared" si="278"/>
        <x:v/>
      </x:c>
      <x:c r="AM180" s="87"/>
      <x:c r="AN180" s="375" t="str">
        <x:f>IF($AQ180="","",IF(OR($AO180="",$AO180="국비",$AO180="자체"),"",CONCATENATE($AQ180,"-",$AO180,"-",COUNTIF($AQ$8:$AQ180,$AQ180))))</x:f>
        <x:v/>
      </x:c>
      <x:c r="AO180" s="375" t="str">
        <x:f t="shared" si="279"/>
        <x:v/>
      </x:c>
      <x:c r="AP180" s="87"/>
      <x:c r="AQ180" s="374" t="str">
        <x:f t="array" ref="AQ180:AQ180">IF(OR($D180="",$C180="직접입력",$B180="직접입력"),"",INDEX(구분표!$I$2:$I$337,MATCH(1,(구분표!$G$2:$G$337='3. 일입'!$B180)*(구분표!$E$2:$E$337='3. 일입'!$C180)*(구분표!$F$2:$F$337='3. 일입'!$D180),0)))</x:f>
        <x:v/>
      </x:c>
      <x:c r="AR180" s="87"/>
      <x:c r="AS180" s="472" t="str">
        <x:f>IF($AK180="","",SUMIFS('3. 일출(의존)'!$AB$7:$AB$1989,'3. 일출(의존)'!$AN$7:$AN$1989,$AK180))</x:f>
        <x:v/>
      </x:c>
      <x:c r="AT180" s="377" t="str">
        <x:f>IF($AK180="","",COUNTIF('3. 일출(의존)'!$AN$7:$AN$1989,$AK180))</x:f>
        <x:v/>
      </x:c>
      <x:c r="AU180" s="374" t="str">
        <x:f t="shared" si="280"/>
        <x:v/>
      </x:c>
      <x:c r="AV180" s="472" t="str">
        <x:f>IF($AN180="","",IF($AO180="지역개발기금",SUMIFS('3. 일출(의존)'!$AE$8:$AE$2000,'3. 일출(의존)'!$AS$8:$AS$2000,$AN180)+SUMIFS('3. 일출(자체)'!$AE$8:$AE$2000,'3. 일출(자체)'!$AM$8:$AM$2000,$AN180),IF($AO180="지방채",SUMIFS('3. 일출(의존)'!$AD$8:$AD$2000,'3. 일출(의존)'!$AS$8:$AS$2000,$AN180)+SUMIFS('3. 일출(자체)'!$AD$8:$AD$2000,'3. 일출(자체)'!$AM$8:$AM$2000,$AN180),0)))</x:f>
        <x:v/>
      </x:c>
      <x:c r="AW180" s="377" t="str">
        <x:f>IF($AN180="","",COUNTIF('3. 일출(의존)'!$AS$8:$AS$2000,$AN180)+COUNTIF('3. 일출(자체)'!$AM$8:$AM$2000,$AN180))</x:f>
        <x:v/>
      </x:c>
      <x:c r="AX180" s="374" t="str">
        <x:f t="shared" si="281"/>
        <x:v/>
      </x:c>
      <x:c r="AY180" s="91"/>
      <x:c r="AZ180" s="472" t="str">
        <x:f>IF($AK180="","",SUMIFS('3. 일출(의존)'!$AH$8:$AH$1989,'3. 일출(의존)'!$AN$8:$AN$1989,$AK180))</x:f>
        <x:v/>
      </x:c>
      <x:c r="BA180" s="377" t="str">
        <x:f>IF($AK180="","",COUNTIF('3. 일출(의존)'!$AN$7:$AN$1989,$AK180))</x:f>
        <x:v/>
      </x:c>
      <x:c r="BB180" s="374" t="str">
        <x:f t="shared" si="282"/>
        <x:v/>
      </x:c>
      <x:c r="BC180" s="472" t="str">
        <x:f>IF($AN180="","",IF($AO180="지역개발기금",SUMIFS('3. 일출(의존)'!$AK$8:$AK$2000,'3. 일출(의존)'!$AS$8:$AS$2000,$AN180)+SUMIFS('3. 일출(자체)'!$AJ$8:$AJ$2000,'3. 일출(자체)'!$AM$8:$AM$2000,$AN180),IF($AO180="지방채",SUMIFS('3. 일출(의존)'!$AJ$8:$AJ$2000,'3. 일출(의존)'!$AS$8:$AS$2000,$AN180)+SUMIFS('3. 일출(자체)'!$AI$8:$AI$2000,'3. 일출(자체)'!$AM$8:$AM$2000,$AN180),0)))</x:f>
        <x:v/>
      </x:c>
      <x:c r="BD180" s="377" t="str">
        <x:f>IF($AN180="","",COUNTIF('3. 일출(의존)'!$AS$8:$AS$2000,$AN180)+COUNTIF('3. 일출(자체)'!$AM$8:$AM$2000,$AN180))</x:f>
        <x:v/>
      </x:c>
      <x:c r="BE180" s="374" t="str">
        <x:f t="shared" si="283"/>
        <x:v/>
      </x:c>
    </x:row>
    <x:row r="181" spans="1:57" s="20" customFormat="1" ht="80.099999999999994" customHeight="1">
      <x:c r="A181" s="155" t="str">
        <x:f>IF(D181="","",COUNTA($C$8:C181)-COUNTBLANK($C$8:C181)+11)</x:f>
        <x:v/>
      </x:c>
      <x:c r="B181" s="156" t="str">
        <x: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x:f>
        <x:v/>
      </x:c>
      <x:c r="C181" s="156" t="str">
        <x:f>IF(D181="","",IF(OR(D181="교육지원과",D181="총무과",D181="인사과"),"직접입력",VLOOKUP(D181,구분표!$A$3:$C$258,3,)))</x:f>
        <x:v/>
      </x:c>
      <x:c r="D181" s="219"/>
      <x:c r="E181" s="213"/>
      <x:c r="F181" s="388" t="str">
        <x:f t="shared" si="284"/>
        <x:v/>
      </x:c>
      <x:c r="G181" s="388" t="str">
        <x:f t="shared" si="284"/>
        <x:v/>
      </x:c>
      <x:c r="H181" s="213"/>
      <x:c r="I181" s="156" t="str">
        <x:f>IF(H181="","",VLOOKUP($H181,구분표!$O$3:$P$168,2,FALSE))</x:f>
        <x:v/>
      </x:c>
      <x:c r="J181" s="215"/>
      <x:c r="K181" s="459" t="str">
        <x:f t="shared" si="285"/>
        <x:v/>
      </x:c>
      <x:c r="L181" s="459" t="str">
        <x:f t="shared" si="286"/>
        <x:v/>
      </x:c>
      <x:c r="M181" s="461" t="str">
        <x:f t="shared" si="265"/>
        <x:v/>
      </x:c>
      <x:c r="N181" s="460"/>
      <x:c r="O181" s="461">
        <x:f t="shared" si="266"/>
        <x:v>0</x:v>
      </x:c>
      <x:c r="P181" s="462"/>
      <x:c r="Q181" s="463">
        <x:f t="shared" si="267"/>
        <x:v>0</x:v>
      </x:c>
      <x:c r="R181" s="162" t="str">
        <x:f t="shared" si="268"/>
        <x:v>X</x:v>
      </x:c>
      <x:c r="S181" s="216"/>
      <x:c r="T181" s="327"/>
      <x:c r="U181" s="217"/>
      <x:c r="V181" s="203"/>
      <x:c r="W181" s="217"/>
      <x:c r="X181" s="217"/>
      <x:c r="Y181" s="162" t="str">
        <x:f t="shared" si="269"/>
        <x:v/>
      </x:c>
      <x:c r="Z181" s="45"/>
      <x:c r="AA181" s="471" t="str">
        <x:f t="shared" si="270"/>
        <x:v/>
      </x:c>
      <x:c r="AB181" s="471" t="str">
        <x:f t="shared" si="271"/>
        <x:v/>
      </x:c>
      <x:c r="AC181" s="471" t="str">
        <x:f t="shared" si="272"/>
        <x:v/>
      </x:c>
      <x:c r="AD181" s="471" t="str">
        <x:f t="shared" si="273"/>
        <x:v/>
      </x:c>
      <x:c r="AE181" s="46"/>
      <x:c r="AF181" s="471" t="str">
        <x:f t="shared" si="274"/>
        <x:v/>
      </x:c>
      <x:c r="AG181" s="471" t="str">
        <x:f t="shared" si="275"/>
        <x:v/>
      </x:c>
      <x:c r="AH181" s="471" t="str">
        <x:f t="shared" si="276"/>
        <x:v/>
      </x:c>
      <x:c r="AI181" s="471" t="str">
        <x:f t="shared" si="277"/>
        <x:v/>
      </x:c>
      <x:c r="AJ181" s="87"/>
      <x:c r="AK181" s="374" t="str">
        <x:f>IF($AQ181="","",IF(OR($AL181="",$AL181="도비"),"",CONCATENATE($AQ181,"-",COUNTIF($AQ$8:$AQ181,$AQ181))))</x:f>
        <x:v/>
      </x:c>
      <x:c r="AL181" s="374" t="str">
        <x:f t="shared" si="278"/>
        <x:v/>
      </x:c>
      <x:c r="AM181" s="87"/>
      <x:c r="AN181" s="375" t="str">
        <x:f>IF($AQ181="","",IF(OR($AO181="",$AO181="국비",$AO181="자체"),"",CONCATENATE($AQ181,"-",$AO181,"-",COUNTIF($AQ$8:$AQ181,$AQ181))))</x:f>
        <x:v/>
      </x:c>
      <x:c r="AO181" s="375" t="str">
        <x:f t="shared" si="279"/>
        <x:v/>
      </x:c>
      <x:c r="AP181" s="87"/>
      <x:c r="AQ181" s="374" t="str">
        <x:f t="array" ref="AQ181:AQ181">IF(OR($D181="",$C181="직접입력",$B181="직접입력"),"",INDEX(구분표!$I$2:$I$337,MATCH(1,(구분표!$G$2:$G$337='3. 일입'!$B181)*(구분표!$E$2:$E$337='3. 일입'!$C181)*(구분표!$F$2:$F$337='3. 일입'!$D181),0)))</x:f>
        <x:v/>
      </x:c>
      <x:c r="AR181" s="87"/>
      <x:c r="AS181" s="472" t="str">
        <x:f>IF($AK181="","",SUMIFS('3. 일출(의존)'!$AB$7:$AB$1989,'3. 일출(의존)'!$AN$7:$AN$1989,$AK181))</x:f>
        <x:v/>
      </x:c>
      <x:c r="AT181" s="377" t="str">
        <x:f>IF($AK181="","",COUNTIF('3. 일출(의존)'!$AN$7:$AN$1989,$AK181))</x:f>
        <x:v/>
      </x:c>
      <x:c r="AU181" s="374" t="str">
        <x:f t="shared" si="280"/>
        <x:v/>
      </x:c>
      <x:c r="AV181" s="472" t="str">
        <x:f>IF($AN181="","",IF($AO181="지역개발기금",SUMIFS('3. 일출(의존)'!$AE$8:$AE$2000,'3. 일출(의존)'!$AS$8:$AS$2000,$AN181)+SUMIFS('3. 일출(자체)'!$AE$8:$AE$2000,'3. 일출(자체)'!$AM$8:$AM$2000,$AN181),IF($AO181="지방채",SUMIFS('3. 일출(의존)'!$AD$8:$AD$2000,'3. 일출(의존)'!$AS$8:$AS$2000,$AN181)+SUMIFS('3. 일출(자체)'!$AD$8:$AD$2000,'3. 일출(자체)'!$AM$8:$AM$2000,$AN181),0)))</x:f>
        <x:v/>
      </x:c>
      <x:c r="AW181" s="377" t="str">
        <x:f>IF($AN181="","",COUNTIF('3. 일출(의존)'!$AS$8:$AS$2000,$AN181)+COUNTIF('3. 일출(자체)'!$AM$8:$AM$2000,$AN181))</x:f>
        <x:v/>
      </x:c>
      <x:c r="AX181" s="374" t="str">
        <x:f t="shared" si="281"/>
        <x:v/>
      </x:c>
      <x:c r="AY181" s="91"/>
      <x:c r="AZ181" s="472" t="str">
        <x:f>IF($AK181="","",SUMIFS('3. 일출(의존)'!$AH$8:$AH$1989,'3. 일출(의존)'!$AN$8:$AN$1989,$AK181))</x:f>
        <x:v/>
      </x:c>
      <x:c r="BA181" s="377" t="str">
        <x:f>IF($AK181="","",COUNTIF('3. 일출(의존)'!$AN$7:$AN$1989,$AK181))</x:f>
        <x:v/>
      </x:c>
      <x:c r="BB181" s="374" t="str">
        <x:f t="shared" si="282"/>
        <x:v/>
      </x:c>
      <x:c r="BC181" s="472" t="str">
        <x:f>IF($AN181="","",IF($AO181="지역개발기금",SUMIFS('3. 일출(의존)'!$AK$8:$AK$2000,'3. 일출(의존)'!$AS$8:$AS$2000,$AN181)+SUMIFS('3. 일출(자체)'!$AJ$8:$AJ$2000,'3. 일출(자체)'!$AM$8:$AM$2000,$AN181),IF($AO181="지방채",SUMIFS('3. 일출(의존)'!$AJ$8:$AJ$2000,'3. 일출(의존)'!$AS$8:$AS$2000,$AN181)+SUMIFS('3. 일출(자체)'!$AI$8:$AI$2000,'3. 일출(자체)'!$AM$8:$AM$2000,$AN181),0)))</x:f>
        <x:v/>
      </x:c>
      <x:c r="BD181" s="377" t="str">
        <x:f>IF($AN181="","",COUNTIF('3. 일출(의존)'!$AS$8:$AS$2000,$AN181)+COUNTIF('3. 일출(자체)'!$AM$8:$AM$2000,$AN181))</x:f>
        <x:v/>
      </x:c>
      <x:c r="BE181" s="374" t="str">
        <x:f t="shared" si="283"/>
        <x:v/>
      </x:c>
    </x:row>
    <x:row r="182" spans="1:57" s="20" customFormat="1" ht="80.099999999999994" customHeight="1">
      <x:c r="A182" s="155" t="str">
        <x:f>IF(D182="","",COUNTA($C$8:C182)-COUNTBLANK($C$8:C182)+11)</x:f>
        <x:v/>
      </x:c>
      <x:c r="B182" s="156" t="str">
        <x: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x:f>
        <x:v/>
      </x:c>
      <x:c r="C182" s="156" t="str">
        <x:f>IF(D182="","",IF(OR(D182="교육지원과",D182="총무과",D182="인사과"),"직접입력",VLOOKUP(D182,구분표!$A$3:$C$258,3,)))</x:f>
        <x:v/>
      </x:c>
      <x:c r="D182" s="219"/>
      <x:c r="E182" s="213"/>
      <x:c r="F182" s="388" t="str">
        <x:f t="shared" si="284"/>
        <x:v/>
      </x:c>
      <x:c r="G182" s="388" t="str">
        <x:f t="shared" si="284"/>
        <x:v/>
      </x:c>
      <x:c r="H182" s="213"/>
      <x:c r="I182" s="156" t="str">
        <x:f>IF(H182="","",VLOOKUP($H182,구분표!$O$3:$P$168,2,FALSE))</x:f>
        <x:v/>
      </x:c>
      <x:c r="J182" s="215"/>
      <x:c r="K182" s="459" t="str">
        <x:f t="shared" si="285"/>
        <x:v/>
      </x:c>
      <x:c r="L182" s="459" t="str">
        <x:f t="shared" si="286"/>
        <x:v/>
      </x:c>
      <x:c r="M182" s="461" t="str">
        <x:f t="shared" si="265"/>
        <x:v/>
      </x:c>
      <x:c r="N182" s="460"/>
      <x:c r="O182" s="461">
        <x:f t="shared" si="266"/>
        <x:v>0</x:v>
      </x:c>
      <x:c r="P182" s="462"/>
      <x:c r="Q182" s="463">
        <x:f t="shared" si="267"/>
        <x:v>0</x:v>
      </x:c>
      <x:c r="R182" s="162" t="str">
        <x:f t="shared" si="268"/>
        <x:v>X</x:v>
      </x:c>
      <x:c r="S182" s="216"/>
      <x:c r="T182" s="327"/>
      <x:c r="U182" s="217"/>
      <x:c r="V182" s="203"/>
      <x:c r="W182" s="217"/>
      <x:c r="X182" s="217"/>
      <x:c r="Y182" s="162" t="str">
        <x:f t="shared" si="269"/>
        <x:v/>
      </x:c>
      <x:c r="Z182" s="45"/>
      <x:c r="AA182" s="471" t="str">
        <x:f t="shared" si="270"/>
        <x:v/>
      </x:c>
      <x:c r="AB182" s="471" t="str">
        <x:f t="shared" si="271"/>
        <x:v/>
      </x:c>
      <x:c r="AC182" s="471" t="str">
        <x:f t="shared" si="272"/>
        <x:v/>
      </x:c>
      <x:c r="AD182" s="471" t="str">
        <x:f t="shared" si="273"/>
        <x:v/>
      </x:c>
      <x:c r="AE182" s="46"/>
      <x:c r="AF182" s="471" t="str">
        <x:f t="shared" si="274"/>
        <x:v/>
      </x:c>
      <x:c r="AG182" s="471" t="str">
        <x:f t="shared" si="275"/>
        <x:v/>
      </x:c>
      <x:c r="AH182" s="471" t="str">
        <x:f t="shared" si="276"/>
        <x:v/>
      </x:c>
      <x:c r="AI182" s="471" t="str">
        <x:f t="shared" si="277"/>
        <x:v/>
      </x:c>
      <x:c r="AJ182" s="87"/>
      <x:c r="AK182" s="374" t="str">
        <x:f>IF($AQ182="","",IF(OR($AL182="",$AL182="도비"),"",CONCATENATE($AQ182,"-",COUNTIF($AQ$8:$AQ182,$AQ182))))</x:f>
        <x:v/>
      </x:c>
      <x:c r="AL182" s="374" t="str">
        <x:f t="shared" si="278"/>
        <x:v/>
      </x:c>
      <x:c r="AM182" s="87"/>
      <x:c r="AN182" s="375" t="str">
        <x:f>IF($AQ182="","",IF(OR($AO182="",$AO182="국비",$AO182="자체"),"",CONCATENATE($AQ182,"-",$AO182,"-",COUNTIF($AQ$8:$AQ182,$AQ182))))</x:f>
        <x:v/>
      </x:c>
      <x:c r="AO182" s="375" t="str">
        <x:f t="shared" si="279"/>
        <x:v/>
      </x:c>
      <x:c r="AP182" s="87"/>
      <x:c r="AQ182" s="374" t="str">
        <x:f t="array" ref="AQ182:AQ182">IF(OR($D182="",$C182="직접입력",$B182="직접입력"),"",INDEX(구분표!$I$2:$I$337,MATCH(1,(구분표!$G$2:$G$337='3. 일입'!$B182)*(구분표!$E$2:$E$337='3. 일입'!$C182)*(구분표!$F$2:$F$337='3. 일입'!$D182),0)))</x:f>
        <x:v/>
      </x:c>
      <x:c r="AR182" s="87"/>
      <x:c r="AS182" s="472" t="str">
        <x:f>IF($AK182="","",SUMIFS('3. 일출(의존)'!$AB$7:$AB$1989,'3. 일출(의존)'!$AN$7:$AN$1989,$AK182))</x:f>
        <x:v/>
      </x:c>
      <x:c r="AT182" s="377" t="str">
        <x:f>IF($AK182="","",COUNTIF('3. 일출(의존)'!$AN$7:$AN$1989,$AK182))</x:f>
        <x:v/>
      </x:c>
      <x:c r="AU182" s="374" t="str">
        <x:f t="shared" si="280"/>
        <x:v/>
      </x:c>
      <x:c r="AV182" s="472" t="str">
        <x:f>IF($AN182="","",IF($AO182="지역개발기금",SUMIFS('3. 일출(의존)'!$AE$8:$AE$2000,'3. 일출(의존)'!$AS$8:$AS$2000,$AN182)+SUMIFS('3. 일출(자체)'!$AE$8:$AE$2000,'3. 일출(자체)'!$AM$8:$AM$2000,$AN182),IF($AO182="지방채",SUMIFS('3. 일출(의존)'!$AD$8:$AD$2000,'3. 일출(의존)'!$AS$8:$AS$2000,$AN182)+SUMIFS('3. 일출(자체)'!$AD$8:$AD$2000,'3. 일출(자체)'!$AM$8:$AM$2000,$AN182),0)))</x:f>
        <x:v/>
      </x:c>
      <x:c r="AW182" s="377" t="str">
        <x:f>IF($AN182="","",COUNTIF('3. 일출(의존)'!$AS$8:$AS$2000,$AN182)+COUNTIF('3. 일출(자체)'!$AM$8:$AM$2000,$AN182))</x:f>
        <x:v/>
      </x:c>
      <x:c r="AX182" s="374" t="str">
        <x:f t="shared" si="281"/>
        <x:v/>
      </x:c>
      <x:c r="AY182" s="91"/>
      <x:c r="AZ182" s="472" t="str">
        <x:f>IF($AK182="","",SUMIFS('3. 일출(의존)'!$AH$8:$AH$1989,'3. 일출(의존)'!$AN$8:$AN$1989,$AK182))</x:f>
        <x:v/>
      </x:c>
      <x:c r="BA182" s="377" t="str">
        <x:f>IF($AK182="","",COUNTIF('3. 일출(의존)'!$AN$7:$AN$1989,$AK182))</x:f>
        <x:v/>
      </x:c>
      <x:c r="BB182" s="374" t="str">
        <x:f t="shared" si="282"/>
        <x:v/>
      </x:c>
      <x:c r="BC182" s="472" t="str">
        <x:f>IF($AN182="","",IF($AO182="지역개발기금",SUMIFS('3. 일출(의존)'!$AK$8:$AK$2000,'3. 일출(의존)'!$AS$8:$AS$2000,$AN182)+SUMIFS('3. 일출(자체)'!$AJ$8:$AJ$2000,'3. 일출(자체)'!$AM$8:$AM$2000,$AN182),IF($AO182="지방채",SUMIFS('3. 일출(의존)'!$AJ$8:$AJ$2000,'3. 일출(의존)'!$AS$8:$AS$2000,$AN182)+SUMIFS('3. 일출(자체)'!$AI$8:$AI$2000,'3. 일출(자체)'!$AM$8:$AM$2000,$AN182),0)))</x:f>
        <x:v/>
      </x:c>
      <x:c r="BD182" s="377" t="str">
        <x:f>IF($AN182="","",COUNTIF('3. 일출(의존)'!$AS$8:$AS$2000,$AN182)+COUNTIF('3. 일출(자체)'!$AM$8:$AM$2000,$AN182))</x:f>
        <x:v/>
      </x:c>
      <x:c r="BE182" s="374" t="str">
        <x:f t="shared" si="283"/>
        <x:v/>
      </x:c>
    </x:row>
    <x:row r="183" spans="1:57" s="20" customFormat="1" ht="80.099999999999994" customHeight="1">
      <x:c r="A183" s="155" t="str">
        <x:f>IF(D183="","",COUNTA($C$8:C183)-COUNTBLANK($C$8:C183)+11)</x:f>
        <x:v/>
      </x:c>
      <x:c r="B183" s="156" t="str">
        <x:f>IF(D183="","",IF(OR(C183="직접입력",D183="북부지원"),"직접입력",IF(OR(AND(D183="인사과",C183="의회사무처"),AND(D183="총무과",C183="의회사무처")),"의회운영위원회",IF(OR(C183="직접입력",D183="북부지원"),"직접입력",IF(OR(AND(D183="인사과",C183="자치행정국"),AND(D183="총무과",C183="자치행정국")),"안전행정위원회",VLOOKUP(D183,구분표!$A$3:$C$258,2,))))))</x:f>
        <x:v/>
      </x:c>
      <x:c r="C183" s="156" t="str">
        <x:f>IF(D183="","",IF(OR(D183="교육지원과",D183="총무과",D183="인사과"),"직접입력",VLOOKUP(D183,구분표!$A$3:$C$258,3,)))</x:f>
        <x:v/>
      </x:c>
      <x:c r="D183" s="219"/>
      <x:c r="E183" s="213"/>
      <x:c r="F183" s="388" t="str">
        <x:f t="shared" si="284"/>
        <x:v/>
      </x:c>
      <x:c r="G183" s="388" t="str">
        <x:f t="shared" si="284"/>
        <x:v/>
      </x:c>
      <x:c r="H183" s="213"/>
      <x:c r="I183" s="156" t="str">
        <x:f>IF(H183="","",VLOOKUP($H183,구분표!$O$3:$P$168,2,FALSE))</x:f>
        <x:v/>
      </x:c>
      <x:c r="J183" s="215"/>
      <x:c r="K183" s="459" t="str">
        <x:f t="shared" si="285"/>
        <x:v/>
      </x:c>
      <x:c r="L183" s="459" t="str">
        <x:f t="shared" si="286"/>
        <x:v/>
      </x:c>
      <x:c r="M183" s="461" t="str">
        <x:f t="shared" si="265"/>
        <x:v/>
      </x:c>
      <x:c r="N183" s="460"/>
      <x:c r="O183" s="461">
        <x:f t="shared" si="266"/>
        <x:v>0</x:v>
      </x:c>
      <x:c r="P183" s="462"/>
      <x:c r="Q183" s="463">
        <x:f t="shared" si="267"/>
        <x:v>0</x:v>
      </x:c>
      <x:c r="R183" s="162" t="str">
        <x:f t="shared" si="268"/>
        <x:v>X</x:v>
      </x:c>
      <x:c r="S183" s="216"/>
      <x:c r="T183" s="327"/>
      <x:c r="U183" s="217"/>
      <x:c r="V183" s="203"/>
      <x:c r="W183" s="217"/>
      <x:c r="X183" s="217"/>
      <x:c r="Y183" s="162" t="str">
        <x:f t="shared" si="269"/>
        <x:v/>
      </x:c>
      <x:c r="Z183" s="45"/>
      <x:c r="AA183" s="471" t="str">
        <x:f t="shared" si="270"/>
        <x:v/>
      </x:c>
      <x:c r="AB183" s="471" t="str">
        <x:f t="shared" si="271"/>
        <x:v/>
      </x:c>
      <x:c r="AC183" s="471" t="str">
        <x:f t="shared" si="272"/>
        <x:v/>
      </x:c>
      <x:c r="AD183" s="471" t="str">
        <x:f t="shared" si="273"/>
        <x:v/>
      </x:c>
      <x:c r="AE183" s="46"/>
      <x:c r="AF183" s="471" t="str">
        <x:f t="shared" si="274"/>
        <x:v/>
      </x:c>
      <x:c r="AG183" s="471" t="str">
        <x:f t="shared" si="275"/>
        <x:v/>
      </x:c>
      <x:c r="AH183" s="471" t="str">
        <x:f t="shared" si="276"/>
        <x:v/>
      </x:c>
      <x:c r="AI183" s="471" t="str">
        <x:f t="shared" si="277"/>
        <x:v/>
      </x:c>
      <x:c r="AJ183" s="87"/>
      <x:c r="AK183" s="374" t="str">
        <x:f>IF($AQ183="","",IF(OR($AL183="",$AL183="도비"),"",CONCATENATE($AQ183,"-",COUNTIF($AQ$8:$AQ183,$AQ183))))</x:f>
        <x:v/>
      </x:c>
      <x:c r="AL183" s="374" t="str">
        <x:f t="shared" si="278"/>
        <x:v/>
      </x:c>
      <x:c r="AM183" s="87"/>
      <x:c r="AN183" s="375" t="str">
        <x:f>IF($AQ183="","",IF(OR($AO183="",$AO183="국비",$AO183="자체"),"",CONCATENATE($AQ183,"-",$AO183,"-",COUNTIF($AQ$8:$AQ183,$AQ183))))</x:f>
        <x:v/>
      </x:c>
      <x:c r="AO183" s="375" t="str">
        <x:f t="shared" si="279"/>
        <x:v/>
      </x:c>
      <x:c r="AP183" s="87"/>
      <x:c r="AQ183" s="374" t="str">
        <x:f t="array" ref="AQ183:AQ183">IF(OR($D183="",$C183="직접입력",$B183="직접입력"),"",INDEX(구분표!$I$2:$I$337,MATCH(1,(구분표!$G$2:$G$337='3. 일입'!$B183)*(구분표!$E$2:$E$337='3. 일입'!$C183)*(구분표!$F$2:$F$337='3. 일입'!$D183),0)))</x:f>
        <x:v/>
      </x:c>
      <x:c r="AR183" s="87"/>
      <x:c r="AS183" s="472" t="str">
        <x:f>IF($AK183="","",SUMIFS('3. 일출(의존)'!$AB$7:$AB$1989,'3. 일출(의존)'!$AN$7:$AN$1989,$AK183))</x:f>
        <x:v/>
      </x:c>
      <x:c r="AT183" s="377" t="str">
        <x:f>IF($AK183="","",COUNTIF('3. 일출(의존)'!$AN$7:$AN$1989,$AK183))</x:f>
        <x:v/>
      </x:c>
      <x:c r="AU183" s="374" t="str">
        <x:f t="shared" si="280"/>
        <x:v/>
      </x:c>
      <x:c r="AV183" s="472" t="str">
        <x:f>IF($AN183="","",IF($AO183="지역개발기금",SUMIFS('3. 일출(의존)'!$AE$8:$AE$2000,'3. 일출(의존)'!$AS$8:$AS$2000,$AN183)+SUMIFS('3. 일출(자체)'!$AE$8:$AE$2000,'3. 일출(자체)'!$AM$8:$AM$2000,$AN183),IF($AO183="지방채",SUMIFS('3. 일출(의존)'!$AD$8:$AD$2000,'3. 일출(의존)'!$AS$8:$AS$2000,$AN183)+SUMIFS('3. 일출(자체)'!$AD$8:$AD$2000,'3. 일출(자체)'!$AM$8:$AM$2000,$AN183),0)))</x:f>
        <x:v/>
      </x:c>
      <x:c r="AW183" s="377" t="str">
        <x:f>IF($AN183="","",COUNTIF('3. 일출(의존)'!$AS$8:$AS$2000,$AN183)+COUNTIF('3. 일출(자체)'!$AM$8:$AM$2000,$AN183))</x:f>
        <x:v/>
      </x:c>
      <x:c r="AX183" s="374" t="str">
        <x:f t="shared" si="281"/>
        <x:v/>
      </x:c>
      <x:c r="AY183" s="91"/>
      <x:c r="AZ183" s="472" t="str">
        <x:f>IF($AK183="","",SUMIFS('3. 일출(의존)'!$AH$8:$AH$1989,'3. 일출(의존)'!$AN$8:$AN$1989,$AK183))</x:f>
        <x:v/>
      </x:c>
      <x:c r="BA183" s="377" t="str">
        <x:f>IF($AK183="","",COUNTIF('3. 일출(의존)'!$AN$7:$AN$1989,$AK183))</x:f>
        <x:v/>
      </x:c>
      <x:c r="BB183" s="374" t="str">
        <x:f t="shared" si="282"/>
        <x:v/>
      </x:c>
      <x:c r="BC183" s="472" t="str">
        <x:f>IF($AN183="","",IF($AO183="지역개발기금",SUMIFS('3. 일출(의존)'!$AK$8:$AK$2000,'3. 일출(의존)'!$AS$8:$AS$2000,$AN183)+SUMIFS('3. 일출(자체)'!$AJ$8:$AJ$2000,'3. 일출(자체)'!$AM$8:$AM$2000,$AN183),IF($AO183="지방채",SUMIFS('3. 일출(의존)'!$AJ$8:$AJ$2000,'3. 일출(의존)'!$AS$8:$AS$2000,$AN183)+SUMIFS('3. 일출(자체)'!$AI$8:$AI$2000,'3. 일출(자체)'!$AM$8:$AM$2000,$AN183),0)))</x:f>
        <x:v/>
      </x:c>
      <x:c r="BD183" s="377" t="str">
        <x:f>IF($AN183="","",COUNTIF('3. 일출(의존)'!$AS$8:$AS$2000,$AN183)+COUNTIF('3. 일출(자체)'!$AM$8:$AM$2000,$AN183))</x:f>
        <x:v/>
      </x:c>
      <x:c r="BE183" s="374" t="str">
        <x:f t="shared" si="283"/>
        <x:v/>
      </x:c>
    </x:row>
    <x:row r="184" spans="1:57" s="20" customFormat="1" ht="80.099999999999994" customHeight="1">
      <x:c r="A184" s="155" t="str">
        <x:f>IF(D184="","",COUNTA($C$8:C184)-COUNTBLANK($C$8:C184)+11)</x:f>
        <x:v/>
      </x:c>
      <x:c r="B184" s="156" t="str">
        <x:f>IF(D184="","",IF(OR(C184="직접입력",D184="북부지원"),"직접입력",IF(OR(AND(D184="인사과",C184="의회사무처"),AND(D184="총무과",C184="의회사무처")),"의회운영위원회",IF(OR(C184="직접입력",D184="북부지원"),"직접입력",IF(OR(AND(D184="인사과",C184="자치행정국"),AND(D184="총무과",C184="자치행정국")),"안전행정위원회",VLOOKUP(D184,구분표!$A$3:$C$258,2,))))))</x:f>
        <x:v/>
      </x:c>
      <x:c r="C184" s="156" t="str">
        <x:f>IF(D184="","",IF(OR(D184="교육지원과",D184="총무과",D184="인사과"),"직접입력",VLOOKUP(D184,구분표!$A$3:$C$258,3,)))</x:f>
        <x:v/>
      </x:c>
      <x:c r="D184" s="219"/>
      <x:c r="E184" s="213"/>
      <x:c r="F184" s="388" t="str">
        <x:f t="shared" si="284"/>
        <x:v/>
      </x:c>
      <x:c r="G184" s="388" t="str">
        <x:f t="shared" si="284"/>
        <x:v/>
      </x:c>
      <x:c r="H184" s="213"/>
      <x:c r="I184" s="156" t="str">
        <x:f>IF(H184="","",VLOOKUP($H184,구분표!$O$3:$P$168,2,FALSE))</x:f>
        <x:v/>
      </x:c>
      <x:c r="J184" s="215"/>
      <x:c r="K184" s="459" t="str">
        <x:f t="shared" si="285"/>
        <x:v/>
      </x:c>
      <x:c r="L184" s="459" t="str">
        <x:f t="shared" si="286"/>
        <x:v/>
      </x:c>
      <x:c r="M184" s="461" t="str">
        <x:f t="shared" si="265"/>
        <x:v/>
      </x:c>
      <x:c r="N184" s="460"/>
      <x:c r="O184" s="461">
        <x:f t="shared" si="266"/>
        <x:v>0</x:v>
      </x:c>
      <x:c r="P184" s="462"/>
      <x:c r="Q184" s="463">
        <x:f t="shared" si="267"/>
        <x:v>0</x:v>
      </x:c>
      <x:c r="R184" s="162" t="str">
        <x:f t="shared" si="268"/>
        <x:v>X</x:v>
      </x:c>
      <x:c r="S184" s="216"/>
      <x:c r="T184" s="327"/>
      <x:c r="U184" s="217"/>
      <x:c r="V184" s="203"/>
      <x:c r="W184" s="217"/>
      <x:c r="X184" s="217"/>
      <x:c r="Y184" s="162" t="str">
        <x:f t="shared" si="269"/>
        <x:v/>
      </x:c>
      <x:c r="Z184" s="45"/>
      <x:c r="AA184" s="471" t="str">
        <x:f t="shared" si="270"/>
        <x:v/>
      </x:c>
      <x:c r="AB184" s="471" t="str">
        <x:f t="shared" si="271"/>
        <x:v/>
      </x:c>
      <x:c r="AC184" s="471" t="str">
        <x:f t="shared" si="272"/>
        <x:v/>
      </x:c>
      <x:c r="AD184" s="471" t="str">
        <x:f t="shared" si="273"/>
        <x:v/>
      </x:c>
      <x:c r="AE184" s="46"/>
      <x:c r="AF184" s="471" t="str">
        <x:f t="shared" si="274"/>
        <x:v/>
      </x:c>
      <x:c r="AG184" s="471" t="str">
        <x:f t="shared" si="275"/>
        <x:v/>
      </x:c>
      <x:c r="AH184" s="471" t="str">
        <x:f t="shared" si="276"/>
        <x:v/>
      </x:c>
      <x:c r="AI184" s="471" t="str">
        <x:f t="shared" si="277"/>
        <x:v/>
      </x:c>
      <x:c r="AJ184" s="87"/>
      <x:c r="AK184" s="374" t="str">
        <x:f>IF($AQ184="","",IF(OR($AL184="",$AL184="도비"),"",CONCATENATE($AQ184,"-",COUNTIF($AQ$8:$AQ184,$AQ184))))</x:f>
        <x:v/>
      </x:c>
      <x:c r="AL184" s="374" t="str">
        <x:f t="shared" si="278"/>
        <x:v/>
      </x:c>
      <x:c r="AM184" s="87"/>
      <x:c r="AN184" s="375" t="str">
        <x:f>IF($AQ184="","",IF(OR($AO184="",$AO184="국비",$AO184="자체"),"",CONCATENATE($AQ184,"-",$AO184,"-",COUNTIF($AQ$8:$AQ184,$AQ184))))</x:f>
        <x:v/>
      </x:c>
      <x:c r="AO184" s="375" t="str">
        <x:f t="shared" si="279"/>
        <x:v/>
      </x:c>
      <x:c r="AP184" s="87"/>
      <x:c r="AQ184" s="374" t="str">
        <x:f t="array" ref="AQ184:AQ184">IF(OR($D184="",$C184="직접입력",$B184="직접입력"),"",INDEX(구분표!$I$2:$I$337,MATCH(1,(구분표!$G$2:$G$337='3. 일입'!$B184)*(구분표!$E$2:$E$337='3. 일입'!$C184)*(구분표!$F$2:$F$337='3. 일입'!$D184),0)))</x:f>
        <x:v/>
      </x:c>
      <x:c r="AR184" s="87"/>
      <x:c r="AS184" s="472" t="str">
        <x:f>IF($AK184="","",SUMIFS('3. 일출(의존)'!$AB$7:$AB$1989,'3. 일출(의존)'!$AN$7:$AN$1989,$AK184))</x:f>
        <x:v/>
      </x:c>
      <x:c r="AT184" s="377" t="str">
        <x:f>IF($AK184="","",COUNTIF('3. 일출(의존)'!$AN$7:$AN$1989,$AK184))</x:f>
        <x:v/>
      </x:c>
      <x:c r="AU184" s="374" t="str">
        <x:f t="shared" si="280"/>
        <x:v/>
      </x:c>
      <x:c r="AV184" s="472" t="str">
        <x:f>IF($AN184="","",IF($AO184="지역개발기금",SUMIFS('3. 일출(의존)'!$AE$8:$AE$2000,'3. 일출(의존)'!$AS$8:$AS$2000,$AN184)+SUMIFS('3. 일출(자체)'!$AE$8:$AE$2000,'3. 일출(자체)'!$AM$8:$AM$2000,$AN184),IF($AO184="지방채",SUMIFS('3. 일출(의존)'!$AD$8:$AD$2000,'3. 일출(의존)'!$AS$8:$AS$2000,$AN184)+SUMIFS('3. 일출(자체)'!$AD$8:$AD$2000,'3. 일출(자체)'!$AM$8:$AM$2000,$AN184),0)))</x:f>
        <x:v/>
      </x:c>
      <x:c r="AW184" s="377" t="str">
        <x:f>IF($AN184="","",COUNTIF('3. 일출(의존)'!$AS$8:$AS$2000,$AN184)+COUNTIF('3. 일출(자체)'!$AM$8:$AM$2000,$AN184))</x:f>
        <x:v/>
      </x:c>
      <x:c r="AX184" s="374" t="str">
        <x:f t="shared" si="281"/>
        <x:v/>
      </x:c>
      <x:c r="AY184" s="91"/>
      <x:c r="AZ184" s="472" t="str">
        <x:f>IF($AK184="","",SUMIFS('3. 일출(의존)'!$AH$8:$AH$1989,'3. 일출(의존)'!$AN$8:$AN$1989,$AK184))</x:f>
        <x:v/>
      </x:c>
      <x:c r="BA184" s="377" t="str">
        <x:f>IF($AK184="","",COUNTIF('3. 일출(의존)'!$AN$7:$AN$1989,$AK184))</x:f>
        <x:v/>
      </x:c>
      <x:c r="BB184" s="374" t="str">
        <x:f t="shared" si="282"/>
        <x:v/>
      </x:c>
      <x:c r="BC184" s="472" t="str">
        <x:f>IF($AN184="","",IF($AO184="지역개발기금",SUMIFS('3. 일출(의존)'!$AK$8:$AK$2000,'3. 일출(의존)'!$AS$8:$AS$2000,$AN184)+SUMIFS('3. 일출(자체)'!$AJ$8:$AJ$2000,'3. 일출(자체)'!$AM$8:$AM$2000,$AN184),IF($AO184="지방채",SUMIFS('3. 일출(의존)'!$AJ$8:$AJ$2000,'3. 일출(의존)'!$AS$8:$AS$2000,$AN184)+SUMIFS('3. 일출(자체)'!$AI$8:$AI$2000,'3. 일출(자체)'!$AM$8:$AM$2000,$AN184),0)))</x:f>
        <x:v/>
      </x:c>
      <x:c r="BD184" s="377" t="str">
        <x:f>IF($AN184="","",COUNTIF('3. 일출(의존)'!$AS$8:$AS$2000,$AN184)+COUNTIF('3. 일출(자체)'!$AM$8:$AM$2000,$AN184))</x:f>
        <x:v/>
      </x:c>
      <x:c r="BE184" s="374" t="str">
        <x:f t="shared" si="283"/>
        <x:v/>
      </x:c>
    </x:row>
    <x:row r="185" spans="1:57" s="20" customFormat="1" ht="80.099999999999994" customHeight="1">
      <x:c r="A185" s="155" t="str">
        <x:f>IF(D185="","",COUNTA($C$8:C185)-COUNTBLANK($C$8:C185)+11)</x:f>
        <x:v/>
      </x:c>
      <x:c r="B185" s="156" t="str">
        <x:f>IF(D185="","",IF(OR(C185="직접입력",D185="북부지원"),"직접입력",IF(OR(AND(D185="인사과",C185="의회사무처"),AND(D185="총무과",C185="의회사무처")),"의회운영위원회",IF(OR(C185="직접입력",D185="북부지원"),"직접입력",IF(OR(AND(D185="인사과",C185="자치행정국"),AND(D185="총무과",C185="자치행정국")),"안전행정위원회",VLOOKUP(D185,구분표!$A$3:$C$258,2,))))))</x:f>
        <x:v/>
      </x:c>
      <x:c r="C185" s="156" t="str">
        <x:f>IF(D185="","",IF(OR(D185="교육지원과",D185="총무과",D185="인사과"),"직접입력",VLOOKUP(D185,구분표!$A$3:$C$258,3,)))</x:f>
        <x:v/>
      </x:c>
      <x:c r="D185" s="219"/>
      <x:c r="E185" s="213"/>
      <x:c r="F185" s="388" t="str">
        <x:f t="shared" si="284"/>
        <x:v/>
      </x:c>
      <x:c r="G185" s="388" t="str">
        <x:f t="shared" si="284"/>
        <x:v/>
      </x:c>
      <x:c r="H185" s="213"/>
      <x:c r="I185" s="156" t="str">
        <x:f>IF(H185="","",VLOOKUP($H185,구분표!$O$3:$P$168,2,FALSE))</x:f>
        <x:v/>
      </x:c>
      <x:c r="J185" s="215"/>
      <x:c r="K185" s="459" t="str">
        <x:f t="shared" si="285"/>
        <x:v/>
      </x:c>
      <x:c r="L185" s="459" t="str">
        <x:f t="shared" si="286"/>
        <x:v/>
      </x:c>
      <x:c r="M185" s="461" t="str">
        <x:f t="shared" si="265"/>
        <x:v/>
      </x:c>
      <x:c r="N185" s="460"/>
      <x:c r="O185" s="461">
        <x:f t="shared" si="266"/>
        <x:v>0</x:v>
      </x:c>
      <x:c r="P185" s="462"/>
      <x:c r="Q185" s="463">
        <x:f t="shared" si="267"/>
        <x:v>0</x:v>
      </x:c>
      <x:c r="R185" s="162" t="str">
        <x:f t="shared" si="268"/>
        <x:v>X</x:v>
      </x:c>
      <x:c r="S185" s="216"/>
      <x:c r="T185" s="327"/>
      <x:c r="U185" s="217"/>
      <x:c r="V185" s="203"/>
      <x:c r="W185" s="217"/>
      <x:c r="X185" s="217"/>
      <x:c r="Y185" s="162" t="str">
        <x:f t="shared" si="269"/>
        <x:v/>
      </x:c>
      <x:c r="Z185" s="45"/>
      <x:c r="AA185" s="471" t="str">
        <x:f t="shared" si="270"/>
        <x:v/>
      </x:c>
      <x:c r="AB185" s="471" t="str">
        <x:f t="shared" si="271"/>
        <x:v/>
      </x:c>
      <x:c r="AC185" s="471" t="str">
        <x:f t="shared" si="272"/>
        <x:v/>
      </x:c>
      <x:c r="AD185" s="471" t="str">
        <x:f t="shared" si="273"/>
        <x:v/>
      </x:c>
      <x:c r="AE185" s="46"/>
      <x:c r="AF185" s="471" t="str">
        <x:f t="shared" si="274"/>
        <x:v/>
      </x:c>
      <x:c r="AG185" s="471" t="str">
        <x:f t="shared" si="275"/>
        <x:v/>
      </x:c>
      <x:c r="AH185" s="471" t="str">
        <x:f t="shared" si="276"/>
        <x:v/>
      </x:c>
      <x:c r="AI185" s="471" t="str">
        <x:f t="shared" si="277"/>
        <x:v/>
      </x:c>
      <x:c r="AJ185" s="87"/>
      <x:c r="AK185" s="374" t="str">
        <x:f>IF($AQ185="","",IF(OR($AL185="",$AL185="도비"),"",CONCATENATE($AQ185,"-",COUNTIF($AQ$8:$AQ185,$AQ185))))</x:f>
        <x:v/>
      </x:c>
      <x:c r="AL185" s="374" t="str">
        <x:f t="shared" si="278"/>
        <x:v/>
      </x:c>
      <x:c r="AM185" s="87"/>
      <x:c r="AN185" s="375" t="str">
        <x:f>IF($AQ185="","",IF(OR($AO185="",$AO185="국비",$AO185="자체"),"",CONCATENATE($AQ185,"-",$AO185,"-",COUNTIF($AQ$8:$AQ185,$AQ185))))</x:f>
        <x:v/>
      </x:c>
      <x:c r="AO185" s="375" t="str">
        <x:f t="shared" si="279"/>
        <x:v/>
      </x:c>
      <x:c r="AP185" s="87"/>
      <x:c r="AQ185" s="374" t="str">
        <x:f t="array" ref="AQ185:AQ185">IF(OR($D185="",$C185="직접입력",$B185="직접입력"),"",INDEX(구분표!$I$2:$I$337,MATCH(1,(구분표!$G$2:$G$337='3. 일입'!$B185)*(구분표!$E$2:$E$337='3. 일입'!$C185)*(구분표!$F$2:$F$337='3. 일입'!$D185),0)))</x:f>
        <x:v/>
      </x:c>
      <x:c r="AR185" s="87"/>
      <x:c r="AS185" s="472" t="str">
        <x:f>IF($AK185="","",SUMIFS('3. 일출(의존)'!$AB$7:$AB$1989,'3. 일출(의존)'!$AN$7:$AN$1989,$AK185))</x:f>
        <x:v/>
      </x:c>
      <x:c r="AT185" s="377" t="str">
        <x:f>IF($AK185="","",COUNTIF('3. 일출(의존)'!$AN$7:$AN$1989,$AK185))</x:f>
        <x:v/>
      </x:c>
      <x:c r="AU185" s="374" t="str">
        <x:f t="shared" si="280"/>
        <x:v/>
      </x:c>
      <x:c r="AV185" s="472" t="str">
        <x:f>IF($AN185="","",IF($AO185="지역개발기금",SUMIFS('3. 일출(의존)'!$AE$8:$AE$2000,'3. 일출(의존)'!$AS$8:$AS$2000,$AN185)+SUMIFS('3. 일출(자체)'!$AE$8:$AE$2000,'3. 일출(자체)'!$AM$8:$AM$2000,$AN185),IF($AO185="지방채",SUMIFS('3. 일출(의존)'!$AD$8:$AD$2000,'3. 일출(의존)'!$AS$8:$AS$2000,$AN185)+SUMIFS('3. 일출(자체)'!$AD$8:$AD$2000,'3. 일출(자체)'!$AM$8:$AM$2000,$AN185),0)))</x:f>
        <x:v/>
      </x:c>
      <x:c r="AW185" s="377" t="str">
        <x:f>IF($AN185="","",COUNTIF('3. 일출(의존)'!$AS$8:$AS$2000,$AN185)+COUNTIF('3. 일출(자체)'!$AM$8:$AM$2000,$AN185))</x:f>
        <x:v/>
      </x:c>
      <x:c r="AX185" s="374" t="str">
        <x:f t="shared" si="281"/>
        <x:v/>
      </x:c>
      <x:c r="AY185" s="91"/>
      <x:c r="AZ185" s="472" t="str">
        <x:f>IF($AK185="","",SUMIFS('3. 일출(의존)'!$AH$8:$AH$1989,'3. 일출(의존)'!$AN$8:$AN$1989,$AK185))</x:f>
        <x:v/>
      </x:c>
      <x:c r="BA185" s="377" t="str">
        <x:f>IF($AK185="","",COUNTIF('3. 일출(의존)'!$AN$7:$AN$1989,$AK185))</x:f>
        <x:v/>
      </x:c>
      <x:c r="BB185" s="374" t="str">
        <x:f t="shared" si="282"/>
        <x:v/>
      </x:c>
      <x:c r="BC185" s="472" t="str">
        <x:f>IF($AN185="","",IF($AO185="지역개발기금",SUMIFS('3. 일출(의존)'!$AK$8:$AK$2000,'3. 일출(의존)'!$AS$8:$AS$2000,$AN185)+SUMIFS('3. 일출(자체)'!$AJ$8:$AJ$2000,'3. 일출(자체)'!$AM$8:$AM$2000,$AN185),IF($AO185="지방채",SUMIFS('3. 일출(의존)'!$AJ$8:$AJ$2000,'3. 일출(의존)'!$AS$8:$AS$2000,$AN185)+SUMIFS('3. 일출(자체)'!$AI$8:$AI$2000,'3. 일출(자체)'!$AM$8:$AM$2000,$AN185),0)))</x:f>
        <x:v/>
      </x:c>
      <x:c r="BD185" s="377" t="str">
        <x:f>IF($AN185="","",COUNTIF('3. 일출(의존)'!$AS$8:$AS$2000,$AN185)+COUNTIF('3. 일출(자체)'!$AM$8:$AM$2000,$AN185))</x:f>
        <x:v/>
      </x:c>
      <x:c r="BE185" s="374" t="str">
        <x:f t="shared" si="283"/>
        <x:v/>
      </x:c>
    </x:row>
    <x:row r="186" spans="1:57" s="20" customFormat="1" ht="80.099999999999994" customHeight="1">
      <x:c r="A186" s="155" t="str">
        <x:f>IF(D186="","",COUNTA($C$8:C186)-COUNTBLANK($C$8:C186)+11)</x:f>
        <x:v/>
      </x:c>
      <x:c r="B186" s="156" t="str">
        <x:f>IF(D186="","",IF(OR(C186="직접입력",D186="북부지원"),"직접입력",IF(OR(AND(D186="인사과",C186="의회사무처"),AND(D186="총무과",C186="의회사무처")),"의회운영위원회",IF(OR(C186="직접입력",D186="북부지원"),"직접입력",IF(OR(AND(D186="인사과",C186="자치행정국"),AND(D186="총무과",C186="자치행정국")),"안전행정위원회",VLOOKUP(D186,구분표!$A$3:$C$258,2,))))))</x:f>
        <x:v/>
      </x:c>
      <x:c r="C186" s="156" t="str">
        <x:f>IF(D186="","",IF(OR(D186="교육지원과",D186="총무과",D186="인사과"),"직접입력",VLOOKUP(D186,구분표!$A$3:$C$258,3,)))</x:f>
        <x:v/>
      </x:c>
      <x:c r="D186" s="219"/>
      <x:c r="E186" s="213"/>
      <x:c r="F186" s="388" t="str">
        <x:f t="shared" si="284"/>
        <x:v/>
      </x:c>
      <x:c r="G186" s="388" t="str">
        <x:f t="shared" si="284"/>
        <x:v/>
      </x:c>
      <x:c r="H186" s="213"/>
      <x:c r="I186" s="156" t="str">
        <x:f>IF(H186="","",VLOOKUP($H186,구분표!$O$3:$P$168,2,FALSE))</x:f>
        <x:v/>
      </x:c>
      <x:c r="J186" s="215"/>
      <x:c r="K186" s="459" t="str">
        <x:f t="shared" si="285"/>
        <x:v/>
      </x:c>
      <x:c r="L186" s="459" t="str">
        <x:f t="shared" si="286"/>
        <x:v/>
      </x:c>
      <x:c r="M186" s="461" t="str">
        <x:f t="shared" si="265"/>
        <x:v/>
      </x:c>
      <x:c r="N186" s="460"/>
      <x:c r="O186" s="461">
        <x:f t="shared" si="266"/>
        <x:v>0</x:v>
      </x:c>
      <x:c r="P186" s="462"/>
      <x:c r="Q186" s="463">
        <x:f t="shared" si="267"/>
        <x:v>0</x:v>
      </x:c>
      <x:c r="R186" s="162" t="str">
        <x:f t="shared" si="268"/>
        <x:v>X</x:v>
      </x:c>
      <x:c r="S186" s="216"/>
      <x:c r="T186" s="327"/>
      <x:c r="U186" s="217"/>
      <x:c r="V186" s="203"/>
      <x:c r="W186" s="217"/>
      <x:c r="X186" s="217"/>
      <x:c r="Y186" s="162" t="str">
        <x:f t="shared" si="269"/>
        <x:v/>
      </x:c>
      <x:c r="Z186" s="45"/>
      <x:c r="AA186" s="471" t="str">
        <x:f t="shared" si="270"/>
        <x:v/>
      </x:c>
      <x:c r="AB186" s="471" t="str">
        <x:f t="shared" si="271"/>
        <x:v/>
      </x:c>
      <x:c r="AC186" s="471" t="str">
        <x:f t="shared" si="272"/>
        <x:v/>
      </x:c>
      <x:c r="AD186" s="471" t="str">
        <x:f t="shared" si="273"/>
        <x:v/>
      </x:c>
      <x:c r="AE186" s="46"/>
      <x:c r="AF186" s="471" t="str">
        <x:f t="shared" si="274"/>
        <x:v/>
      </x:c>
      <x:c r="AG186" s="471" t="str">
        <x:f t="shared" si="275"/>
        <x:v/>
      </x:c>
      <x:c r="AH186" s="471" t="str">
        <x:f t="shared" si="276"/>
        <x:v/>
      </x:c>
      <x:c r="AI186" s="471" t="str">
        <x:f t="shared" si="277"/>
        <x:v/>
      </x:c>
      <x:c r="AJ186" s="87"/>
      <x:c r="AK186" s="374" t="str">
        <x:f>IF($AQ186="","",IF(OR($AL186="",$AL186="도비"),"",CONCATENATE($AQ186,"-",COUNTIF($AQ$8:$AQ186,$AQ186))))</x:f>
        <x:v/>
      </x:c>
      <x:c r="AL186" s="374" t="str">
        <x:f t="shared" si="278"/>
        <x:v/>
      </x:c>
      <x:c r="AM186" s="87"/>
      <x:c r="AN186" s="375" t="str">
        <x:f>IF($AQ186="","",IF(OR($AO186="",$AO186="국비",$AO186="자체"),"",CONCATENATE($AQ186,"-",$AO186,"-",COUNTIF($AQ$8:$AQ186,$AQ186))))</x:f>
        <x:v/>
      </x:c>
      <x:c r="AO186" s="375" t="str">
        <x:f t="shared" si="279"/>
        <x:v/>
      </x:c>
      <x:c r="AP186" s="87"/>
      <x:c r="AQ186" s="374" t="str">
        <x:f t="array" ref="AQ186:AQ186">IF(OR($D186="",$C186="직접입력",$B186="직접입력"),"",INDEX(구분표!$I$2:$I$337,MATCH(1,(구분표!$G$2:$G$337='3. 일입'!$B186)*(구분표!$E$2:$E$337='3. 일입'!$C186)*(구분표!$F$2:$F$337='3. 일입'!$D186),0)))</x:f>
        <x:v/>
      </x:c>
      <x:c r="AR186" s="87"/>
      <x:c r="AS186" s="472" t="str">
        <x:f>IF($AK186="","",SUMIFS('3. 일출(의존)'!$AB$7:$AB$1989,'3. 일출(의존)'!$AN$7:$AN$1989,$AK186))</x:f>
        <x:v/>
      </x:c>
      <x:c r="AT186" s="377" t="str">
        <x:f>IF($AK186="","",COUNTIF('3. 일출(의존)'!$AN$7:$AN$1989,$AK186))</x:f>
        <x:v/>
      </x:c>
      <x:c r="AU186" s="374" t="str">
        <x:f t="shared" si="280"/>
        <x:v/>
      </x:c>
      <x:c r="AV186" s="472" t="str">
        <x:f>IF($AN186="","",IF($AO186="지역개발기금",SUMIFS('3. 일출(의존)'!$AE$8:$AE$2000,'3. 일출(의존)'!$AS$8:$AS$2000,$AN186)+SUMIFS('3. 일출(자체)'!$AE$8:$AE$2000,'3. 일출(자체)'!$AM$8:$AM$2000,$AN186),IF($AO186="지방채",SUMIFS('3. 일출(의존)'!$AD$8:$AD$2000,'3. 일출(의존)'!$AS$8:$AS$2000,$AN186)+SUMIFS('3. 일출(자체)'!$AD$8:$AD$2000,'3. 일출(자체)'!$AM$8:$AM$2000,$AN186),0)))</x:f>
        <x:v/>
      </x:c>
      <x:c r="AW186" s="377" t="str">
        <x:f>IF($AN186="","",COUNTIF('3. 일출(의존)'!$AS$8:$AS$2000,$AN186)+COUNTIF('3. 일출(자체)'!$AM$8:$AM$2000,$AN186))</x:f>
        <x:v/>
      </x:c>
      <x:c r="AX186" s="374" t="str">
        <x:f t="shared" si="281"/>
        <x:v/>
      </x:c>
      <x:c r="AY186" s="91"/>
      <x:c r="AZ186" s="472" t="str">
        <x:f>IF($AK186="","",SUMIFS('3. 일출(의존)'!$AH$8:$AH$1989,'3. 일출(의존)'!$AN$8:$AN$1989,$AK186))</x:f>
        <x:v/>
      </x:c>
      <x:c r="BA186" s="377" t="str">
        <x:f>IF($AK186="","",COUNTIF('3. 일출(의존)'!$AN$7:$AN$1989,$AK186))</x:f>
        <x:v/>
      </x:c>
      <x:c r="BB186" s="374" t="str">
        <x:f t="shared" si="282"/>
        <x:v/>
      </x:c>
      <x:c r="BC186" s="472" t="str">
        <x:f>IF($AN186="","",IF($AO186="지역개발기금",SUMIFS('3. 일출(의존)'!$AK$8:$AK$2000,'3. 일출(의존)'!$AS$8:$AS$2000,$AN186)+SUMIFS('3. 일출(자체)'!$AJ$8:$AJ$2000,'3. 일출(자체)'!$AM$8:$AM$2000,$AN186),IF($AO186="지방채",SUMIFS('3. 일출(의존)'!$AJ$8:$AJ$2000,'3. 일출(의존)'!$AS$8:$AS$2000,$AN186)+SUMIFS('3. 일출(자체)'!$AI$8:$AI$2000,'3. 일출(자체)'!$AM$8:$AM$2000,$AN186),0)))</x:f>
        <x:v/>
      </x:c>
      <x:c r="BD186" s="377" t="str">
        <x:f>IF($AN186="","",COUNTIF('3. 일출(의존)'!$AS$8:$AS$2000,$AN186)+COUNTIF('3. 일출(자체)'!$AM$8:$AM$2000,$AN186))</x:f>
        <x:v/>
      </x:c>
      <x:c r="BE186" s="374" t="str">
        <x:f t="shared" si="283"/>
        <x:v/>
      </x:c>
    </x:row>
    <x:row r="187" spans="1:57" s="20" customFormat="1" ht="80.099999999999994" customHeight="1">
      <x:c r="A187" s="155" t="str">
        <x:f>IF(D187="","",COUNTA($C$8:C187)-COUNTBLANK($C$8:C187)+11)</x:f>
        <x:v/>
      </x:c>
      <x:c r="B187" s="156" t="str">
        <x:f>IF(D187="","",IF(OR(C187="직접입력",D187="북부지원"),"직접입력",IF(OR(AND(D187="인사과",C187="의회사무처"),AND(D187="총무과",C187="의회사무처")),"의회운영위원회",IF(OR(C187="직접입력",D187="북부지원"),"직접입력",IF(OR(AND(D187="인사과",C187="자치행정국"),AND(D187="총무과",C187="자치행정국")),"안전행정위원회",VLOOKUP(D187,구분표!$A$3:$C$258,2,))))))</x:f>
        <x:v/>
      </x:c>
      <x:c r="C187" s="156" t="str">
        <x:f>IF(D187="","",IF(OR(D187="교육지원과",D187="총무과",D187="인사과"),"직접입력",VLOOKUP(D187,구분표!$A$3:$C$258,3,)))</x:f>
        <x:v/>
      </x:c>
      <x:c r="D187" s="219"/>
      <x:c r="E187" s="213"/>
      <x:c r="F187" s="388" t="str">
        <x:f t="shared" si="284"/>
        <x:v/>
      </x:c>
      <x:c r="G187" s="388" t="str">
        <x:f t="shared" si="284"/>
        <x:v/>
      </x:c>
      <x:c r="H187" s="213"/>
      <x:c r="I187" s="156" t="str">
        <x:f>IF(H187="","",VLOOKUP($H187,구분표!$O$3:$P$168,2,FALSE))</x:f>
        <x:v/>
      </x:c>
      <x:c r="J187" s="215"/>
      <x:c r="K187" s="459" t="str">
        <x:f t="shared" si="285"/>
        <x:v/>
      </x:c>
      <x:c r="L187" s="459" t="str">
        <x:f t="shared" si="286"/>
        <x:v/>
      </x:c>
      <x:c r="M187" s="461" t="str">
        <x:f t="shared" si="265"/>
        <x:v/>
      </x:c>
      <x:c r="N187" s="460"/>
      <x:c r="O187" s="461">
        <x:f t="shared" si="266"/>
        <x:v>0</x:v>
      </x:c>
      <x:c r="P187" s="462"/>
      <x:c r="Q187" s="463">
        <x:f t="shared" si="267"/>
        <x:v>0</x:v>
      </x:c>
      <x:c r="R187" s="162" t="str">
        <x:f t="shared" si="268"/>
        <x:v>X</x:v>
      </x:c>
      <x:c r="S187" s="216"/>
      <x:c r="T187" s="327"/>
      <x:c r="U187" s="217"/>
      <x:c r="V187" s="203"/>
      <x:c r="W187" s="217"/>
      <x:c r="X187" s="217"/>
      <x:c r="Y187" s="162" t="str">
        <x:f t="shared" si="269"/>
        <x:v/>
      </x:c>
      <x:c r="Z187" s="45"/>
      <x:c r="AA187" s="471" t="str">
        <x:f t="shared" si="270"/>
        <x:v/>
      </x:c>
      <x:c r="AB187" s="471" t="str">
        <x:f t="shared" si="271"/>
        <x:v/>
      </x:c>
      <x:c r="AC187" s="471" t="str">
        <x:f t="shared" si="272"/>
        <x:v/>
      </x:c>
      <x:c r="AD187" s="471" t="str">
        <x:f t="shared" si="273"/>
        <x:v/>
      </x:c>
      <x:c r="AE187" s="46"/>
      <x:c r="AF187" s="471" t="str">
        <x:f t="shared" si="274"/>
        <x:v/>
      </x:c>
      <x:c r="AG187" s="471" t="str">
        <x:f t="shared" si="275"/>
        <x:v/>
      </x:c>
      <x:c r="AH187" s="471" t="str">
        <x:f t="shared" si="276"/>
        <x:v/>
      </x:c>
      <x:c r="AI187" s="471" t="str">
        <x:f t="shared" si="277"/>
        <x:v/>
      </x:c>
      <x:c r="AJ187" s="87"/>
      <x:c r="AK187" s="374" t="str">
        <x:f>IF($AQ187="","",IF(OR($AL187="",$AL187="도비"),"",CONCATENATE($AQ187,"-",COUNTIF($AQ$8:$AQ187,$AQ187))))</x:f>
        <x:v/>
      </x:c>
      <x:c r="AL187" s="374" t="str">
        <x:f t="shared" si="278"/>
        <x:v/>
      </x:c>
      <x:c r="AM187" s="87"/>
      <x:c r="AN187" s="375" t="str">
        <x:f>IF($AQ187="","",IF(OR($AO187="",$AO187="국비",$AO187="자체"),"",CONCATENATE($AQ187,"-",$AO187,"-",COUNTIF($AQ$8:$AQ187,$AQ187))))</x:f>
        <x:v/>
      </x:c>
      <x:c r="AO187" s="375" t="str">
        <x:f t="shared" si="279"/>
        <x:v/>
      </x:c>
      <x:c r="AP187" s="87"/>
      <x:c r="AQ187" s="374" t="str">
        <x:f t="array" ref="AQ187:AQ187">IF(OR($D187="",$C187="직접입력",$B187="직접입력"),"",INDEX(구분표!$I$2:$I$337,MATCH(1,(구분표!$G$2:$G$337='3. 일입'!$B187)*(구분표!$E$2:$E$337='3. 일입'!$C187)*(구분표!$F$2:$F$337='3. 일입'!$D187),0)))</x:f>
        <x:v/>
      </x:c>
      <x:c r="AR187" s="87"/>
      <x:c r="AS187" s="472" t="str">
        <x:f>IF($AK187="","",SUMIFS('3. 일출(의존)'!$AB$7:$AB$1989,'3. 일출(의존)'!$AN$7:$AN$1989,$AK187))</x:f>
        <x:v/>
      </x:c>
      <x:c r="AT187" s="377" t="str">
        <x:f>IF($AK187="","",COUNTIF('3. 일출(의존)'!$AN$7:$AN$1989,$AK187))</x:f>
        <x:v/>
      </x:c>
      <x:c r="AU187" s="374" t="str">
        <x:f t="shared" si="280"/>
        <x:v/>
      </x:c>
      <x:c r="AV187" s="472" t="str">
        <x:f>IF($AN187="","",IF($AO187="지역개발기금",SUMIFS('3. 일출(의존)'!$AE$8:$AE$2000,'3. 일출(의존)'!$AS$8:$AS$2000,$AN187)+SUMIFS('3. 일출(자체)'!$AE$8:$AE$2000,'3. 일출(자체)'!$AM$8:$AM$2000,$AN187),IF($AO187="지방채",SUMIFS('3. 일출(의존)'!$AD$8:$AD$2000,'3. 일출(의존)'!$AS$8:$AS$2000,$AN187)+SUMIFS('3. 일출(자체)'!$AD$8:$AD$2000,'3. 일출(자체)'!$AM$8:$AM$2000,$AN187),0)))</x:f>
        <x:v/>
      </x:c>
      <x:c r="AW187" s="377" t="str">
        <x:f>IF($AN187="","",COUNTIF('3. 일출(의존)'!$AS$8:$AS$2000,$AN187)+COUNTIF('3. 일출(자체)'!$AM$8:$AM$2000,$AN187))</x:f>
        <x:v/>
      </x:c>
      <x:c r="AX187" s="374" t="str">
        <x:f t="shared" si="281"/>
        <x:v/>
      </x:c>
      <x:c r="AY187" s="91"/>
      <x:c r="AZ187" s="472" t="str">
        <x:f>IF($AK187="","",SUMIFS('3. 일출(의존)'!$AH$8:$AH$1989,'3. 일출(의존)'!$AN$8:$AN$1989,$AK187))</x:f>
        <x:v/>
      </x:c>
      <x:c r="BA187" s="377" t="str">
        <x:f>IF($AK187="","",COUNTIF('3. 일출(의존)'!$AN$7:$AN$1989,$AK187))</x:f>
        <x:v/>
      </x:c>
      <x:c r="BB187" s="374" t="str">
        <x:f t="shared" si="282"/>
        <x:v/>
      </x:c>
      <x:c r="BC187" s="472" t="str">
        <x:f>IF($AN187="","",IF($AO187="지역개발기금",SUMIFS('3. 일출(의존)'!$AK$8:$AK$2000,'3. 일출(의존)'!$AS$8:$AS$2000,$AN187)+SUMIFS('3. 일출(자체)'!$AJ$8:$AJ$2000,'3. 일출(자체)'!$AM$8:$AM$2000,$AN187),IF($AO187="지방채",SUMIFS('3. 일출(의존)'!$AJ$8:$AJ$2000,'3. 일출(의존)'!$AS$8:$AS$2000,$AN187)+SUMIFS('3. 일출(자체)'!$AI$8:$AI$2000,'3. 일출(자체)'!$AM$8:$AM$2000,$AN187),0)))</x:f>
        <x:v/>
      </x:c>
      <x:c r="BD187" s="377" t="str">
        <x:f>IF($AN187="","",COUNTIF('3. 일출(의존)'!$AS$8:$AS$2000,$AN187)+COUNTIF('3. 일출(자체)'!$AM$8:$AM$2000,$AN187))</x:f>
        <x:v/>
      </x:c>
      <x:c r="BE187" s="374" t="str">
        <x:f t="shared" si="283"/>
        <x:v/>
      </x:c>
    </x:row>
    <x:row r="188" spans="1:57" s="20" customFormat="1" ht="80.099999999999994" customHeight="1">
      <x:c r="A188" s="155" t="str">
        <x:f>IF(D188="","",COUNTA($C$8:C188)-COUNTBLANK($C$8:C188)+11)</x:f>
        <x:v/>
      </x:c>
      <x:c r="B188" s="156" t="str">
        <x:f>IF(D188="","",IF(OR(C188="직접입력",D188="북부지원"),"직접입력",IF(OR(AND(D188="인사과",C188="의회사무처"),AND(D188="총무과",C188="의회사무처")),"의회운영위원회",IF(OR(C188="직접입력",D188="북부지원"),"직접입력",IF(OR(AND(D188="인사과",C188="자치행정국"),AND(D188="총무과",C188="자치행정국")),"안전행정위원회",VLOOKUP(D188,구분표!$A$3:$C$258,2,))))))</x:f>
        <x:v/>
      </x:c>
      <x:c r="C188" s="156" t="str">
        <x:f>IF(D188="","",IF(OR(D188="교육지원과",D188="총무과",D188="인사과"),"직접입력",VLOOKUP(D188,구분표!$A$3:$C$258,3,)))</x:f>
        <x:v/>
      </x:c>
      <x:c r="D188" s="219"/>
      <x:c r="E188" s="213"/>
      <x:c r="F188" s="388" t="str">
        <x:f t="shared" si="284"/>
        <x:v/>
      </x:c>
      <x:c r="G188" s="388" t="str">
        <x:f t="shared" si="284"/>
        <x:v/>
      </x:c>
      <x:c r="H188" s="213"/>
      <x:c r="I188" s="156" t="str">
        <x:f>IF(H188="","",VLOOKUP($H188,구분표!$O$3:$P$168,2,FALSE))</x:f>
        <x:v/>
      </x:c>
      <x:c r="J188" s="215"/>
      <x:c r="K188" s="459" t="str">
        <x:f t="shared" si="285"/>
        <x:v/>
      </x:c>
      <x:c r="L188" s="459" t="str">
        <x:f t="shared" si="286"/>
        <x:v/>
      </x:c>
      <x:c r="M188" s="461" t="str">
        <x:f t="shared" si="265"/>
        <x:v/>
      </x:c>
      <x:c r="N188" s="460"/>
      <x:c r="O188" s="461">
        <x:f t="shared" si="266"/>
        <x:v>0</x:v>
      </x:c>
      <x:c r="P188" s="462"/>
      <x:c r="Q188" s="463">
        <x:f t="shared" si="267"/>
        <x:v>0</x:v>
      </x:c>
      <x:c r="R188" s="162" t="str">
        <x:f t="shared" si="268"/>
        <x:v>X</x:v>
      </x:c>
      <x:c r="S188" s="216"/>
      <x:c r="T188" s="327"/>
      <x:c r="U188" s="217"/>
      <x:c r="V188" s="203"/>
      <x:c r="W188" s="217"/>
      <x:c r="X188" s="217"/>
      <x:c r="Y188" s="162" t="str">
        <x:f t="shared" si="269"/>
        <x:v/>
      </x:c>
      <x:c r="Z188" s="45"/>
      <x:c r="AA188" s="471" t="str">
        <x:f t="shared" si="270"/>
        <x:v/>
      </x:c>
      <x:c r="AB188" s="471" t="str">
        <x:f t="shared" si="271"/>
        <x:v/>
      </x:c>
      <x:c r="AC188" s="471" t="str">
        <x:f t="shared" si="272"/>
        <x:v/>
      </x:c>
      <x:c r="AD188" s="471" t="str">
        <x:f t="shared" si="273"/>
        <x:v/>
      </x:c>
      <x:c r="AE188" s="46"/>
      <x:c r="AF188" s="471" t="str">
        <x:f t="shared" si="274"/>
        <x:v/>
      </x:c>
      <x:c r="AG188" s="471" t="str">
        <x:f t="shared" si="275"/>
        <x:v/>
      </x:c>
      <x:c r="AH188" s="471" t="str">
        <x:f t="shared" si="276"/>
        <x:v/>
      </x:c>
      <x:c r="AI188" s="471" t="str">
        <x:f t="shared" si="277"/>
        <x:v/>
      </x:c>
      <x:c r="AJ188" s="87"/>
      <x:c r="AK188" s="374" t="str">
        <x:f>IF($AQ188="","",IF(OR($AL188="",$AL188="도비"),"",CONCATENATE($AQ188,"-",COUNTIF($AQ$8:$AQ188,$AQ188))))</x:f>
        <x:v/>
      </x:c>
      <x:c r="AL188" s="374" t="str">
        <x:f t="shared" si="278"/>
        <x:v/>
      </x:c>
      <x:c r="AM188" s="87"/>
      <x:c r="AN188" s="375" t="str">
        <x:f>IF($AQ188="","",IF(OR($AO188="",$AO188="국비",$AO188="자체"),"",CONCATENATE($AQ188,"-",$AO188,"-",COUNTIF($AQ$8:$AQ188,$AQ188))))</x:f>
        <x:v/>
      </x:c>
      <x:c r="AO188" s="375" t="str">
        <x:f t="shared" si="279"/>
        <x:v/>
      </x:c>
      <x:c r="AP188" s="87"/>
      <x:c r="AQ188" s="374" t="str">
        <x:f t="array" ref="AQ188:AQ188">IF(OR($D188="",$C188="직접입력",$B188="직접입력"),"",INDEX(구분표!$I$2:$I$337,MATCH(1,(구분표!$G$2:$G$337='3. 일입'!$B188)*(구분표!$E$2:$E$337='3. 일입'!$C188)*(구분표!$F$2:$F$337='3. 일입'!$D188),0)))</x:f>
        <x:v/>
      </x:c>
      <x:c r="AR188" s="87"/>
      <x:c r="AS188" s="472" t="str">
        <x:f>IF($AK188="","",SUMIFS('3. 일출(의존)'!$AB$7:$AB$1989,'3. 일출(의존)'!$AN$7:$AN$1989,$AK188))</x:f>
        <x:v/>
      </x:c>
      <x:c r="AT188" s="377" t="str">
        <x:f>IF($AK188="","",COUNTIF('3. 일출(의존)'!$AN$7:$AN$1989,$AK188))</x:f>
        <x:v/>
      </x:c>
      <x:c r="AU188" s="374" t="str">
        <x:f t="shared" si="280"/>
        <x:v/>
      </x:c>
      <x:c r="AV188" s="472" t="str">
        <x:f>IF($AN188="","",IF($AO188="지역개발기금",SUMIFS('3. 일출(의존)'!$AE$8:$AE$2000,'3. 일출(의존)'!$AS$8:$AS$2000,$AN188)+SUMIFS('3. 일출(자체)'!$AE$8:$AE$2000,'3. 일출(자체)'!$AM$8:$AM$2000,$AN188),IF($AO188="지방채",SUMIFS('3. 일출(의존)'!$AD$8:$AD$2000,'3. 일출(의존)'!$AS$8:$AS$2000,$AN188)+SUMIFS('3. 일출(자체)'!$AD$8:$AD$2000,'3. 일출(자체)'!$AM$8:$AM$2000,$AN188),0)))</x:f>
        <x:v/>
      </x:c>
      <x:c r="AW188" s="377" t="str">
        <x:f>IF($AN188="","",COUNTIF('3. 일출(의존)'!$AS$8:$AS$2000,$AN188)+COUNTIF('3. 일출(자체)'!$AM$8:$AM$2000,$AN188))</x:f>
        <x:v/>
      </x:c>
      <x:c r="AX188" s="374" t="str">
        <x:f t="shared" si="281"/>
        <x:v/>
      </x:c>
      <x:c r="AY188" s="91"/>
      <x:c r="AZ188" s="472" t="str">
        <x:f>IF($AK188="","",SUMIFS('3. 일출(의존)'!$AH$8:$AH$1989,'3. 일출(의존)'!$AN$8:$AN$1989,$AK188))</x:f>
        <x:v/>
      </x:c>
      <x:c r="BA188" s="377" t="str">
        <x:f>IF($AK188="","",COUNTIF('3. 일출(의존)'!$AN$7:$AN$1989,$AK188))</x:f>
        <x:v/>
      </x:c>
      <x:c r="BB188" s="374" t="str">
        <x:f t="shared" si="282"/>
        <x:v/>
      </x:c>
      <x:c r="BC188" s="472" t="str">
        <x:f>IF($AN188="","",IF($AO188="지역개발기금",SUMIFS('3. 일출(의존)'!$AK$8:$AK$2000,'3. 일출(의존)'!$AS$8:$AS$2000,$AN188)+SUMIFS('3. 일출(자체)'!$AJ$8:$AJ$2000,'3. 일출(자체)'!$AM$8:$AM$2000,$AN188),IF($AO188="지방채",SUMIFS('3. 일출(의존)'!$AJ$8:$AJ$2000,'3. 일출(의존)'!$AS$8:$AS$2000,$AN188)+SUMIFS('3. 일출(자체)'!$AI$8:$AI$2000,'3. 일출(자체)'!$AM$8:$AM$2000,$AN188),0)))</x:f>
        <x:v/>
      </x:c>
      <x:c r="BD188" s="377" t="str">
        <x:f>IF($AN188="","",COUNTIF('3. 일출(의존)'!$AS$8:$AS$2000,$AN188)+COUNTIF('3. 일출(자체)'!$AM$8:$AM$2000,$AN188))</x:f>
        <x:v/>
      </x:c>
      <x:c r="BE188" s="374" t="str">
        <x:f t="shared" si="283"/>
        <x:v/>
      </x:c>
    </x:row>
    <x:row r="189" spans="1:57" s="20" customFormat="1" ht="80.099999999999994" customHeight="1">
      <x:c r="A189" s="155" t="str">
        <x:f>IF(D189="","",COUNTA($C$8:C189)-COUNTBLANK($C$8:C189)+11)</x:f>
        <x:v/>
      </x:c>
      <x:c r="B189" s="156" t="str">
        <x:f>IF(D189="","",IF(OR(C189="직접입력",D189="북부지원"),"직접입력",IF(OR(AND(D189="인사과",C189="의회사무처"),AND(D189="총무과",C189="의회사무처")),"의회운영위원회",IF(OR(C189="직접입력",D189="북부지원"),"직접입력",IF(OR(AND(D189="인사과",C189="자치행정국"),AND(D189="총무과",C189="자치행정국")),"안전행정위원회",VLOOKUP(D189,구분표!$A$3:$C$258,2,))))))</x:f>
        <x:v/>
      </x:c>
      <x:c r="C189" s="156" t="str">
        <x:f>IF(D189="","",IF(OR(D189="교육지원과",D189="총무과",D189="인사과"),"직접입력",VLOOKUP(D189,구분표!$A$3:$C$258,3,)))</x:f>
        <x:v/>
      </x:c>
      <x:c r="D189" s="219"/>
      <x:c r="E189" s="213"/>
      <x:c r="F189" s="388" t="str">
        <x:f t="shared" si="284"/>
        <x:v/>
      </x:c>
      <x:c r="G189" s="388" t="str">
        <x:f t="shared" si="284"/>
        <x:v/>
      </x:c>
      <x:c r="H189" s="213"/>
      <x:c r="I189" s="156" t="str">
        <x:f>IF(H189="","",VLOOKUP($H189,구분표!$O$3:$P$168,2,FALSE))</x:f>
        <x:v/>
      </x:c>
      <x:c r="J189" s="215"/>
      <x:c r="K189" s="459" t="str">
        <x:f t="shared" si="285"/>
        <x:v/>
      </x:c>
      <x:c r="L189" s="459" t="str">
        <x:f t="shared" si="286"/>
        <x:v/>
      </x:c>
      <x:c r="M189" s="461" t="str">
        <x:f t="shared" si="265"/>
        <x:v/>
      </x:c>
      <x:c r="N189" s="460"/>
      <x:c r="O189" s="461">
        <x:f t="shared" si="266"/>
        <x:v>0</x:v>
      </x:c>
      <x:c r="P189" s="462"/>
      <x:c r="Q189" s="463">
        <x:f t="shared" si="267"/>
        <x:v>0</x:v>
      </x:c>
      <x:c r="R189" s="162" t="str">
        <x:f t="shared" si="268"/>
        <x:v>X</x:v>
      </x:c>
      <x:c r="S189" s="216"/>
      <x:c r="T189" s="327"/>
      <x:c r="U189" s="217"/>
      <x:c r="V189" s="203"/>
      <x:c r="W189" s="217"/>
      <x:c r="X189" s="217"/>
      <x:c r="Y189" s="162" t="str">
        <x:f t="shared" si="269"/>
        <x:v/>
      </x:c>
      <x:c r="Z189" s="45"/>
      <x:c r="AA189" s="471" t="str">
        <x:f t="shared" si="270"/>
        <x:v/>
      </x:c>
      <x:c r="AB189" s="471" t="str">
        <x:f t="shared" si="271"/>
        <x:v/>
      </x:c>
      <x:c r="AC189" s="471" t="str">
        <x:f t="shared" si="272"/>
        <x:v/>
      </x:c>
      <x:c r="AD189" s="471" t="str">
        <x:f t="shared" si="273"/>
        <x:v/>
      </x:c>
      <x:c r="AE189" s="46"/>
      <x:c r="AF189" s="471" t="str">
        <x:f t="shared" si="274"/>
        <x:v/>
      </x:c>
      <x:c r="AG189" s="471" t="str">
        <x:f t="shared" si="275"/>
        <x:v/>
      </x:c>
      <x:c r="AH189" s="471" t="str">
        <x:f t="shared" si="276"/>
        <x:v/>
      </x:c>
      <x:c r="AI189" s="471" t="str">
        <x:f t="shared" si="277"/>
        <x:v/>
      </x:c>
      <x:c r="AJ189" s="87"/>
      <x:c r="AK189" s="374" t="str">
        <x:f>IF($AQ189="","",IF(OR($AL189="",$AL189="도비"),"",CONCATENATE($AQ189,"-",COUNTIF($AQ$8:$AQ189,$AQ189))))</x:f>
        <x:v/>
      </x:c>
      <x:c r="AL189" s="374" t="str">
        <x:f t="shared" si="278"/>
        <x:v/>
      </x:c>
      <x:c r="AM189" s="87"/>
      <x:c r="AN189" s="375" t="str">
        <x:f>IF($AQ189="","",IF(OR($AO189="",$AO189="국비",$AO189="자체"),"",CONCATENATE($AQ189,"-",$AO189,"-",COUNTIF($AQ$8:$AQ189,$AQ189))))</x:f>
        <x:v/>
      </x:c>
      <x:c r="AO189" s="375" t="str">
        <x:f t="shared" si="279"/>
        <x:v/>
      </x:c>
      <x:c r="AP189" s="87"/>
      <x:c r="AQ189" s="374" t="str">
        <x:f t="array" ref="AQ189:AQ189">IF(OR($D189="",$C189="직접입력",$B189="직접입력"),"",INDEX(구분표!$I$2:$I$337,MATCH(1,(구분표!$G$2:$G$337='3. 일입'!$B189)*(구분표!$E$2:$E$337='3. 일입'!$C189)*(구분표!$F$2:$F$337='3. 일입'!$D189),0)))</x:f>
        <x:v/>
      </x:c>
      <x:c r="AR189" s="87"/>
      <x:c r="AS189" s="472" t="str">
        <x:f>IF($AK189="","",SUMIFS('3. 일출(의존)'!$AB$7:$AB$1989,'3. 일출(의존)'!$AN$7:$AN$1989,$AK189))</x:f>
        <x:v/>
      </x:c>
      <x:c r="AT189" s="377" t="str">
        <x:f>IF($AK189="","",COUNTIF('3. 일출(의존)'!$AN$7:$AN$1989,$AK189))</x:f>
        <x:v/>
      </x:c>
      <x:c r="AU189" s="374" t="str">
        <x:f t="shared" si="280"/>
        <x:v/>
      </x:c>
      <x:c r="AV189" s="472" t="str">
        <x:f>IF($AN189="","",IF($AO189="지역개발기금",SUMIFS('3. 일출(의존)'!$AE$8:$AE$2000,'3. 일출(의존)'!$AS$8:$AS$2000,$AN189)+SUMIFS('3. 일출(자체)'!$AE$8:$AE$2000,'3. 일출(자체)'!$AM$8:$AM$2000,$AN189),IF($AO189="지방채",SUMIFS('3. 일출(의존)'!$AD$8:$AD$2000,'3. 일출(의존)'!$AS$8:$AS$2000,$AN189)+SUMIFS('3. 일출(자체)'!$AD$8:$AD$2000,'3. 일출(자체)'!$AM$8:$AM$2000,$AN189),0)))</x:f>
        <x:v/>
      </x:c>
      <x:c r="AW189" s="377" t="str">
        <x:f>IF($AN189="","",COUNTIF('3. 일출(의존)'!$AS$8:$AS$2000,$AN189)+COUNTIF('3. 일출(자체)'!$AM$8:$AM$2000,$AN189))</x:f>
        <x:v/>
      </x:c>
      <x:c r="AX189" s="374" t="str">
        <x:f t="shared" si="281"/>
        <x:v/>
      </x:c>
      <x:c r="AY189" s="91"/>
      <x:c r="AZ189" s="472" t="str">
        <x:f>IF($AK189="","",SUMIFS('3. 일출(의존)'!$AH$8:$AH$1989,'3. 일출(의존)'!$AN$8:$AN$1989,$AK189))</x:f>
        <x:v/>
      </x:c>
      <x:c r="BA189" s="377" t="str">
        <x:f>IF($AK189="","",COUNTIF('3. 일출(의존)'!$AN$7:$AN$1989,$AK189))</x:f>
        <x:v/>
      </x:c>
      <x:c r="BB189" s="374" t="str">
        <x:f t="shared" si="282"/>
        <x:v/>
      </x:c>
      <x:c r="BC189" s="472" t="str">
        <x:f>IF($AN189="","",IF($AO189="지역개발기금",SUMIFS('3. 일출(의존)'!$AK$8:$AK$2000,'3. 일출(의존)'!$AS$8:$AS$2000,$AN189)+SUMIFS('3. 일출(자체)'!$AJ$8:$AJ$2000,'3. 일출(자체)'!$AM$8:$AM$2000,$AN189),IF($AO189="지방채",SUMIFS('3. 일출(의존)'!$AJ$8:$AJ$2000,'3. 일출(의존)'!$AS$8:$AS$2000,$AN189)+SUMIFS('3. 일출(자체)'!$AI$8:$AI$2000,'3. 일출(자체)'!$AM$8:$AM$2000,$AN189),0)))</x:f>
        <x:v/>
      </x:c>
      <x:c r="BD189" s="377" t="str">
        <x:f>IF($AN189="","",COUNTIF('3. 일출(의존)'!$AS$8:$AS$2000,$AN189)+COUNTIF('3. 일출(자체)'!$AM$8:$AM$2000,$AN189))</x:f>
        <x:v/>
      </x:c>
      <x:c r="BE189" s="374" t="str">
        <x:f t="shared" si="283"/>
        <x:v/>
      </x:c>
    </x:row>
    <x:row r="190" spans="1:57" s="20" customFormat="1" ht="80.099999999999994" customHeight="1">
      <x:c r="A190" s="155" t="str">
        <x:f>IF(D190="","",COUNTA($C$8:C190)-COUNTBLANK($C$8:C190)+11)</x:f>
        <x:v/>
      </x:c>
      <x:c r="B190" s="156" t="str">
        <x:f>IF(D190="","",IF(OR(C190="직접입력",D190="북부지원"),"직접입력",IF(OR(AND(D190="인사과",C190="의회사무처"),AND(D190="총무과",C190="의회사무처")),"의회운영위원회",IF(OR(C190="직접입력",D190="북부지원"),"직접입력",IF(OR(AND(D190="인사과",C190="자치행정국"),AND(D190="총무과",C190="자치행정국")),"안전행정위원회",VLOOKUP(D190,구분표!$A$3:$C$258,2,))))))</x:f>
        <x:v/>
      </x:c>
      <x:c r="C190" s="156" t="str">
        <x:f>IF(D190="","",IF(OR(D190="교육지원과",D190="총무과",D190="인사과"),"직접입력",VLOOKUP(D190,구분표!$A$3:$C$258,3,)))</x:f>
        <x:v/>
      </x:c>
      <x:c r="D190" s="219"/>
      <x:c r="E190" s="213"/>
      <x:c r="F190" s="388" t="str">
        <x:f t="shared" si="284"/>
        <x:v/>
      </x:c>
      <x:c r="G190" s="388" t="str">
        <x:f t="shared" si="284"/>
        <x:v/>
      </x:c>
      <x:c r="H190" s="213"/>
      <x:c r="I190" s="156" t="str">
        <x:f>IF(H190="","",VLOOKUP($H190,구분표!$O$3:$P$168,2,FALSE))</x:f>
        <x:v/>
      </x:c>
      <x:c r="J190" s="215"/>
      <x:c r="K190" s="459" t="str">
        <x:f t="shared" si="285"/>
        <x:v/>
      </x:c>
      <x:c r="L190" s="459" t="str">
        <x:f t="shared" si="286"/>
        <x:v/>
      </x:c>
      <x:c r="M190" s="461" t="str">
        <x:f t="shared" si="265"/>
        <x:v/>
      </x:c>
      <x:c r="N190" s="460"/>
      <x:c r="O190" s="461">
        <x:f t="shared" si="266"/>
        <x:v>0</x:v>
      </x:c>
      <x:c r="P190" s="462"/>
      <x:c r="Q190" s="463">
        <x:f t="shared" si="267"/>
        <x:v>0</x:v>
      </x:c>
      <x:c r="R190" s="162" t="str">
        <x:f t="shared" si="268"/>
        <x:v>X</x:v>
      </x:c>
      <x:c r="S190" s="216"/>
      <x:c r="T190" s="327"/>
      <x:c r="U190" s="217"/>
      <x:c r="V190" s="203"/>
      <x:c r="W190" s="217"/>
      <x:c r="X190" s="217"/>
      <x:c r="Y190" s="162" t="str">
        <x:f t="shared" si="269"/>
        <x:v/>
      </x:c>
      <x:c r="Z190" s="45"/>
      <x:c r="AA190" s="471" t="str">
        <x:f t="shared" si="270"/>
        <x:v/>
      </x:c>
      <x:c r="AB190" s="471" t="str">
        <x:f t="shared" si="271"/>
        <x:v/>
      </x:c>
      <x:c r="AC190" s="471" t="str">
        <x:f t="shared" si="272"/>
        <x:v/>
      </x:c>
      <x:c r="AD190" s="471" t="str">
        <x:f t="shared" si="273"/>
        <x:v/>
      </x:c>
      <x:c r="AE190" s="46"/>
      <x:c r="AF190" s="471" t="str">
        <x:f t="shared" si="274"/>
        <x:v/>
      </x:c>
      <x:c r="AG190" s="471" t="str">
        <x:f t="shared" si="275"/>
        <x:v/>
      </x:c>
      <x:c r="AH190" s="471" t="str">
        <x:f t="shared" si="276"/>
        <x:v/>
      </x:c>
      <x:c r="AI190" s="471" t="str">
        <x:f t="shared" si="277"/>
        <x:v/>
      </x:c>
      <x:c r="AJ190" s="87"/>
      <x:c r="AK190" s="374" t="str">
        <x:f>IF($AQ190="","",IF(OR($AL190="",$AL190="도비"),"",CONCATENATE($AQ190,"-",COUNTIF($AQ$8:$AQ190,$AQ190))))</x:f>
        <x:v/>
      </x:c>
      <x:c r="AL190" s="374" t="str">
        <x:f t="shared" si="278"/>
        <x:v/>
      </x:c>
      <x:c r="AM190" s="87"/>
      <x:c r="AN190" s="375" t="str">
        <x:f>IF($AQ190="","",IF(OR($AO190="",$AO190="국비",$AO190="자체"),"",CONCATENATE($AQ190,"-",$AO190,"-",COUNTIF($AQ$8:$AQ190,$AQ190))))</x:f>
        <x:v/>
      </x:c>
      <x:c r="AO190" s="375" t="str">
        <x:f t="shared" si="279"/>
        <x:v/>
      </x:c>
      <x:c r="AP190" s="87"/>
      <x:c r="AQ190" s="374" t="str">
        <x:f t="array" ref="AQ190:AQ190">IF(OR($D190="",$C190="직접입력",$B190="직접입력"),"",INDEX(구분표!$I$2:$I$337,MATCH(1,(구분표!$G$2:$G$337='3. 일입'!$B190)*(구분표!$E$2:$E$337='3. 일입'!$C190)*(구분표!$F$2:$F$337='3. 일입'!$D190),0)))</x:f>
        <x:v/>
      </x:c>
      <x:c r="AR190" s="87"/>
      <x:c r="AS190" s="472" t="str">
        <x:f>IF($AK190="","",SUMIFS('3. 일출(의존)'!$AB$7:$AB$1989,'3. 일출(의존)'!$AN$7:$AN$1989,$AK190))</x:f>
        <x:v/>
      </x:c>
      <x:c r="AT190" s="377" t="str">
        <x:f>IF($AK190="","",COUNTIF('3. 일출(의존)'!$AN$7:$AN$1989,$AK190))</x:f>
        <x:v/>
      </x:c>
      <x:c r="AU190" s="374" t="str">
        <x:f t="shared" si="280"/>
        <x:v/>
      </x:c>
      <x:c r="AV190" s="472" t="str">
        <x:f>IF($AN190="","",IF($AO190="지역개발기금",SUMIFS('3. 일출(의존)'!$AE$8:$AE$2000,'3. 일출(의존)'!$AS$8:$AS$2000,$AN190)+SUMIFS('3. 일출(자체)'!$AE$8:$AE$2000,'3. 일출(자체)'!$AM$8:$AM$2000,$AN190),IF($AO190="지방채",SUMIFS('3. 일출(의존)'!$AD$8:$AD$2000,'3. 일출(의존)'!$AS$8:$AS$2000,$AN190)+SUMIFS('3. 일출(자체)'!$AD$8:$AD$2000,'3. 일출(자체)'!$AM$8:$AM$2000,$AN190),0)))</x:f>
        <x:v/>
      </x:c>
      <x:c r="AW190" s="377" t="str">
        <x:f>IF($AN190="","",COUNTIF('3. 일출(의존)'!$AS$8:$AS$2000,$AN190)+COUNTIF('3. 일출(자체)'!$AM$8:$AM$2000,$AN190))</x:f>
        <x:v/>
      </x:c>
      <x:c r="AX190" s="374" t="str">
        <x:f t="shared" si="281"/>
        <x:v/>
      </x:c>
      <x:c r="AY190" s="91"/>
      <x:c r="AZ190" s="472" t="str">
        <x:f>IF($AK190="","",SUMIFS('3. 일출(의존)'!$AH$8:$AH$1989,'3. 일출(의존)'!$AN$8:$AN$1989,$AK190))</x:f>
        <x:v/>
      </x:c>
      <x:c r="BA190" s="377" t="str">
        <x:f>IF($AK190="","",COUNTIF('3. 일출(의존)'!$AN$7:$AN$1989,$AK190))</x:f>
        <x:v/>
      </x:c>
      <x:c r="BB190" s="374" t="str">
        <x:f t="shared" si="282"/>
        <x:v/>
      </x:c>
      <x:c r="BC190" s="472" t="str">
        <x:f>IF($AN190="","",IF($AO190="지역개발기금",SUMIFS('3. 일출(의존)'!$AK$8:$AK$2000,'3. 일출(의존)'!$AS$8:$AS$2000,$AN190)+SUMIFS('3. 일출(자체)'!$AJ$8:$AJ$2000,'3. 일출(자체)'!$AM$8:$AM$2000,$AN190),IF($AO190="지방채",SUMIFS('3. 일출(의존)'!$AJ$8:$AJ$2000,'3. 일출(의존)'!$AS$8:$AS$2000,$AN190)+SUMIFS('3. 일출(자체)'!$AI$8:$AI$2000,'3. 일출(자체)'!$AM$8:$AM$2000,$AN190),0)))</x:f>
        <x:v/>
      </x:c>
      <x:c r="BD190" s="377" t="str">
        <x:f>IF($AN190="","",COUNTIF('3. 일출(의존)'!$AS$8:$AS$2000,$AN190)+COUNTIF('3. 일출(자체)'!$AM$8:$AM$2000,$AN190))</x:f>
        <x:v/>
      </x:c>
      <x:c r="BE190" s="374" t="str">
        <x:f t="shared" si="283"/>
        <x:v/>
      </x:c>
    </x:row>
    <x:row r="191" spans="1:57" s="20" customFormat="1" ht="80.099999999999994" customHeight="1">
      <x:c r="A191" s="155" t="str">
        <x:f>IF(D191="","",COUNTA($C$8:C191)-COUNTBLANK($C$8:C191)+11)</x:f>
        <x:v/>
      </x:c>
      <x:c r="B191" s="156" t="str">
        <x:f>IF(D191="","",IF(OR(C191="직접입력",D191="북부지원"),"직접입력",IF(OR(AND(D191="인사과",C191="의회사무처"),AND(D191="총무과",C191="의회사무처")),"의회운영위원회",IF(OR(C191="직접입력",D191="북부지원"),"직접입력",IF(OR(AND(D191="인사과",C191="자치행정국"),AND(D191="총무과",C191="자치행정국")),"안전행정위원회",VLOOKUP(D191,구분표!$A$3:$C$258,2,))))))</x:f>
        <x:v/>
      </x:c>
      <x:c r="C191" s="156" t="str">
        <x:f>IF(D191="","",IF(OR(D191="교육지원과",D191="총무과",D191="인사과"),"직접입력",VLOOKUP(D191,구분표!$A$3:$C$258,3,)))</x:f>
        <x:v/>
      </x:c>
      <x:c r="D191" s="219"/>
      <x:c r="E191" s="213"/>
      <x:c r="F191" s="388" t="str">
        <x:f t="shared" si="284"/>
        <x:v/>
      </x:c>
      <x:c r="G191" s="388" t="str">
        <x:f t="shared" si="284"/>
        <x:v/>
      </x:c>
      <x:c r="H191" s="213"/>
      <x:c r="I191" s="156" t="str">
        <x:f>IF(H191="","",VLOOKUP($H191,구분표!$O$3:$P$168,2,FALSE))</x:f>
        <x:v/>
      </x:c>
      <x:c r="J191" s="215"/>
      <x:c r="K191" s="459" t="str">
        <x:f t="shared" si="285"/>
        <x:v/>
      </x:c>
      <x:c r="L191" s="459" t="str">
        <x:f t="shared" si="286"/>
        <x:v/>
      </x:c>
      <x:c r="M191" s="461" t="str">
        <x:f t="shared" si="265"/>
        <x:v/>
      </x:c>
      <x:c r="N191" s="460"/>
      <x:c r="O191" s="461">
        <x:f t="shared" si="266"/>
        <x:v>0</x:v>
      </x:c>
      <x:c r="P191" s="462"/>
      <x:c r="Q191" s="463">
        <x:f t="shared" si="267"/>
        <x:v>0</x:v>
      </x:c>
      <x:c r="R191" s="162" t="str">
        <x:f t="shared" si="268"/>
        <x:v>X</x:v>
      </x:c>
      <x:c r="S191" s="216"/>
      <x:c r="T191" s="327"/>
      <x:c r="U191" s="217"/>
      <x:c r="V191" s="203"/>
      <x:c r="W191" s="217"/>
      <x:c r="X191" s="217"/>
      <x:c r="Y191" s="162" t="str">
        <x:f t="shared" si="269"/>
        <x:v/>
      </x:c>
      <x:c r="Z191" s="45"/>
      <x:c r="AA191" s="471" t="str">
        <x:f t="shared" si="270"/>
        <x:v/>
      </x:c>
      <x:c r="AB191" s="471" t="str">
        <x:f t="shared" si="271"/>
        <x:v/>
      </x:c>
      <x:c r="AC191" s="471" t="str">
        <x:f t="shared" si="272"/>
        <x:v/>
      </x:c>
      <x:c r="AD191" s="471" t="str">
        <x:f t="shared" si="273"/>
        <x:v/>
      </x:c>
      <x:c r="AE191" s="46"/>
      <x:c r="AF191" s="471" t="str">
        <x:f t="shared" si="274"/>
        <x:v/>
      </x:c>
      <x:c r="AG191" s="471" t="str">
        <x:f t="shared" si="275"/>
        <x:v/>
      </x:c>
      <x:c r="AH191" s="471" t="str">
        <x:f t="shared" si="276"/>
        <x:v/>
      </x:c>
      <x:c r="AI191" s="471" t="str">
        <x:f t="shared" si="277"/>
        <x:v/>
      </x:c>
      <x:c r="AJ191" s="87"/>
      <x:c r="AK191" s="374" t="str">
        <x:f>IF($AQ191="","",IF(OR($AL191="",$AL191="도비"),"",CONCATENATE($AQ191,"-",COUNTIF($AQ$8:$AQ191,$AQ191))))</x:f>
        <x:v/>
      </x:c>
      <x:c r="AL191" s="374" t="str">
        <x:f t="shared" si="278"/>
        <x:v/>
      </x:c>
      <x:c r="AM191" s="87"/>
      <x:c r="AN191" s="375" t="str">
        <x:f>IF($AQ191="","",IF(OR($AO191="",$AO191="국비",$AO191="자체"),"",CONCATENATE($AQ191,"-",$AO191,"-",COUNTIF($AQ$8:$AQ191,$AQ191))))</x:f>
        <x:v/>
      </x:c>
      <x:c r="AO191" s="375" t="str">
        <x:f t="shared" si="279"/>
        <x:v/>
      </x:c>
      <x:c r="AP191" s="87"/>
      <x:c r="AQ191" s="374" t="str">
        <x:f t="array" ref="AQ191:AQ191">IF(OR($D191="",$C191="직접입력",$B191="직접입력"),"",INDEX(구분표!$I$2:$I$337,MATCH(1,(구분표!$G$2:$G$337='3. 일입'!$B191)*(구분표!$E$2:$E$337='3. 일입'!$C191)*(구분표!$F$2:$F$337='3. 일입'!$D191),0)))</x:f>
        <x:v/>
      </x:c>
      <x:c r="AR191" s="87"/>
      <x:c r="AS191" s="472" t="str">
        <x:f>IF($AK191="","",SUMIFS('3. 일출(의존)'!$AB$7:$AB$1989,'3. 일출(의존)'!$AN$7:$AN$1989,$AK191))</x:f>
        <x:v/>
      </x:c>
      <x:c r="AT191" s="377" t="str">
        <x:f>IF($AK191="","",COUNTIF('3. 일출(의존)'!$AN$7:$AN$1989,$AK191))</x:f>
        <x:v/>
      </x:c>
      <x:c r="AU191" s="374" t="str">
        <x:f t="shared" si="280"/>
        <x:v/>
      </x:c>
      <x:c r="AV191" s="472" t="str">
        <x:f>IF($AN191="","",IF($AO191="지역개발기금",SUMIFS('3. 일출(의존)'!$AE$8:$AE$2000,'3. 일출(의존)'!$AS$8:$AS$2000,$AN191)+SUMIFS('3. 일출(자체)'!$AE$8:$AE$2000,'3. 일출(자체)'!$AM$8:$AM$2000,$AN191),IF($AO191="지방채",SUMIFS('3. 일출(의존)'!$AD$8:$AD$2000,'3. 일출(의존)'!$AS$8:$AS$2000,$AN191)+SUMIFS('3. 일출(자체)'!$AD$8:$AD$2000,'3. 일출(자체)'!$AM$8:$AM$2000,$AN191),0)))</x:f>
        <x:v/>
      </x:c>
      <x:c r="AW191" s="377" t="str">
        <x:f>IF($AN191="","",COUNTIF('3. 일출(의존)'!$AS$8:$AS$2000,$AN191)+COUNTIF('3. 일출(자체)'!$AM$8:$AM$2000,$AN191))</x:f>
        <x:v/>
      </x:c>
      <x:c r="AX191" s="374" t="str">
        <x:f t="shared" si="281"/>
        <x:v/>
      </x:c>
      <x:c r="AY191" s="91"/>
      <x:c r="AZ191" s="472" t="str">
        <x:f>IF($AK191="","",SUMIFS('3. 일출(의존)'!$AH$8:$AH$1989,'3. 일출(의존)'!$AN$8:$AN$1989,$AK191))</x:f>
        <x:v/>
      </x:c>
      <x:c r="BA191" s="377" t="str">
        <x:f>IF($AK191="","",COUNTIF('3. 일출(의존)'!$AN$7:$AN$1989,$AK191))</x:f>
        <x:v/>
      </x:c>
      <x:c r="BB191" s="374" t="str">
        <x:f t="shared" si="282"/>
        <x:v/>
      </x:c>
      <x:c r="BC191" s="472" t="str">
        <x:f>IF($AN191="","",IF($AO191="지역개발기금",SUMIFS('3. 일출(의존)'!$AK$8:$AK$2000,'3. 일출(의존)'!$AS$8:$AS$2000,$AN191)+SUMIFS('3. 일출(자체)'!$AJ$8:$AJ$2000,'3. 일출(자체)'!$AM$8:$AM$2000,$AN191),IF($AO191="지방채",SUMIFS('3. 일출(의존)'!$AJ$8:$AJ$2000,'3. 일출(의존)'!$AS$8:$AS$2000,$AN191)+SUMIFS('3. 일출(자체)'!$AI$8:$AI$2000,'3. 일출(자체)'!$AM$8:$AM$2000,$AN191),0)))</x:f>
        <x:v/>
      </x:c>
      <x:c r="BD191" s="377" t="str">
        <x:f>IF($AN191="","",COUNTIF('3. 일출(의존)'!$AS$8:$AS$2000,$AN191)+COUNTIF('3. 일출(자체)'!$AM$8:$AM$2000,$AN191))</x:f>
        <x:v/>
      </x:c>
      <x:c r="BE191" s="374" t="str">
        <x:f t="shared" si="283"/>
        <x:v/>
      </x:c>
    </x:row>
    <x:row r="192" spans="1:57" s="20" customFormat="1" ht="80.099999999999994" customHeight="1">
      <x:c r="A192" s="155" t="str">
        <x:f>IF(D192="","",COUNTA($C$8:C192)-COUNTBLANK($C$8:C192)+11)</x:f>
        <x:v/>
      </x:c>
      <x:c r="B192" s="156" t="str">
        <x:f>IF(D192="","",IF(OR(C192="직접입력",D192="북부지원"),"직접입력",IF(OR(AND(D192="인사과",C192="의회사무처"),AND(D192="총무과",C192="의회사무처")),"의회운영위원회",IF(OR(C192="직접입력",D192="북부지원"),"직접입력",IF(OR(AND(D192="인사과",C192="자치행정국"),AND(D192="총무과",C192="자치행정국")),"안전행정위원회",VLOOKUP(D192,구분표!$A$3:$C$258,2,))))))</x:f>
        <x:v/>
      </x:c>
      <x:c r="C192" s="156" t="str">
        <x:f>IF(D192="","",IF(OR(D192="교육지원과",D192="총무과",D192="인사과"),"직접입력",VLOOKUP(D192,구분표!$A$3:$C$258,3,)))</x:f>
        <x:v/>
      </x:c>
      <x:c r="D192" s="219"/>
      <x:c r="E192" s="213"/>
      <x:c r="F192" s="388" t="str">
        <x:f t="shared" si="284"/>
        <x:v/>
      </x:c>
      <x:c r="G192" s="388" t="str">
        <x:f t="shared" si="284"/>
        <x:v/>
      </x:c>
      <x:c r="H192" s="213"/>
      <x:c r="I192" s="156" t="str">
        <x:f>IF(H192="","",VLOOKUP($H192,구분표!$O$3:$P$168,2,FALSE))</x:f>
        <x:v/>
      </x:c>
      <x:c r="J192" s="215"/>
      <x:c r="K192" s="459" t="str">
        <x:f t="shared" si="285"/>
        <x:v/>
      </x:c>
      <x:c r="L192" s="459" t="str">
        <x:f t="shared" si="286"/>
        <x:v/>
      </x:c>
      <x:c r="M192" s="461" t="str">
        <x:f t="shared" si="265"/>
        <x:v/>
      </x:c>
      <x:c r="N192" s="460"/>
      <x:c r="O192" s="461">
        <x:f t="shared" si="266"/>
        <x:v>0</x:v>
      </x:c>
      <x:c r="P192" s="462"/>
      <x:c r="Q192" s="463">
        <x:f t="shared" si="267"/>
        <x:v>0</x:v>
      </x:c>
      <x:c r="R192" s="162" t="str">
        <x:f t="shared" si="268"/>
        <x:v>X</x:v>
      </x:c>
      <x:c r="S192" s="216"/>
      <x:c r="T192" s="327"/>
      <x:c r="U192" s="217"/>
      <x:c r="V192" s="203"/>
      <x:c r="W192" s="217"/>
      <x:c r="X192" s="217"/>
      <x:c r="Y192" s="162" t="str">
        <x:f t="shared" si="269"/>
        <x:v/>
      </x:c>
      <x:c r="Z192" s="45"/>
      <x:c r="AA192" s="471" t="str">
        <x:f t="shared" si="270"/>
        <x:v/>
      </x:c>
      <x:c r="AB192" s="471" t="str">
        <x:f t="shared" si="271"/>
        <x:v/>
      </x:c>
      <x:c r="AC192" s="471" t="str">
        <x:f t="shared" si="272"/>
        <x:v/>
      </x:c>
      <x:c r="AD192" s="471" t="str">
        <x:f t="shared" si="273"/>
        <x:v/>
      </x:c>
      <x:c r="AE192" s="46"/>
      <x:c r="AF192" s="471" t="str">
        <x:f t="shared" si="274"/>
        <x:v/>
      </x:c>
      <x:c r="AG192" s="471" t="str">
        <x:f t="shared" si="275"/>
        <x:v/>
      </x:c>
      <x:c r="AH192" s="471" t="str">
        <x:f t="shared" si="276"/>
        <x:v/>
      </x:c>
      <x:c r="AI192" s="471" t="str">
        <x:f t="shared" si="277"/>
        <x:v/>
      </x:c>
      <x:c r="AJ192" s="87"/>
      <x:c r="AK192" s="374" t="str">
        <x:f>IF($AQ192="","",IF(OR($AL192="",$AL192="도비"),"",CONCATENATE($AQ192,"-",COUNTIF($AQ$8:$AQ192,$AQ192))))</x:f>
        <x:v/>
      </x:c>
      <x:c r="AL192" s="374" t="str">
        <x:f t="shared" si="278"/>
        <x:v/>
      </x:c>
      <x:c r="AM192" s="87"/>
      <x:c r="AN192" s="375" t="str">
        <x:f>IF($AQ192="","",IF(OR($AO192="",$AO192="국비",$AO192="자체"),"",CONCATENATE($AQ192,"-",$AO192,"-",COUNTIF($AQ$8:$AQ192,$AQ192))))</x:f>
        <x:v/>
      </x:c>
      <x:c r="AO192" s="375" t="str">
        <x:f t="shared" si="279"/>
        <x:v/>
      </x:c>
      <x:c r="AP192" s="87"/>
      <x:c r="AQ192" s="374" t="str">
        <x:f t="array" ref="AQ192:AQ192">IF(OR($D192="",$C192="직접입력",$B192="직접입력"),"",INDEX(구분표!$I$2:$I$337,MATCH(1,(구분표!$G$2:$G$337='3. 일입'!$B192)*(구분표!$E$2:$E$337='3. 일입'!$C192)*(구분표!$F$2:$F$337='3. 일입'!$D192),0)))</x:f>
        <x:v/>
      </x:c>
      <x:c r="AR192" s="87"/>
      <x:c r="AS192" s="472" t="str">
        <x:f>IF($AK192="","",SUMIFS('3. 일출(의존)'!$AB$7:$AB$1989,'3. 일출(의존)'!$AN$7:$AN$1989,$AK192))</x:f>
        <x:v/>
      </x:c>
      <x:c r="AT192" s="377" t="str">
        <x:f>IF($AK192="","",COUNTIF('3. 일출(의존)'!$AN$7:$AN$1989,$AK192))</x:f>
        <x:v/>
      </x:c>
      <x:c r="AU192" s="374" t="str">
        <x:f t="shared" si="280"/>
        <x:v/>
      </x:c>
      <x:c r="AV192" s="472" t="str">
        <x:f>IF($AN192="","",IF($AO192="지역개발기금",SUMIFS('3. 일출(의존)'!$AE$8:$AE$2000,'3. 일출(의존)'!$AS$8:$AS$2000,$AN192)+SUMIFS('3. 일출(자체)'!$AE$8:$AE$2000,'3. 일출(자체)'!$AM$8:$AM$2000,$AN192),IF($AO192="지방채",SUMIFS('3. 일출(의존)'!$AD$8:$AD$2000,'3. 일출(의존)'!$AS$8:$AS$2000,$AN192)+SUMIFS('3. 일출(자체)'!$AD$8:$AD$2000,'3. 일출(자체)'!$AM$8:$AM$2000,$AN192),0)))</x:f>
        <x:v/>
      </x:c>
      <x:c r="AW192" s="377" t="str">
        <x:f>IF($AN192="","",COUNTIF('3. 일출(의존)'!$AS$8:$AS$2000,$AN192)+COUNTIF('3. 일출(자체)'!$AM$8:$AM$2000,$AN192))</x:f>
        <x:v/>
      </x:c>
      <x:c r="AX192" s="374" t="str">
        <x:f t="shared" si="281"/>
        <x:v/>
      </x:c>
      <x:c r="AY192" s="91"/>
      <x:c r="AZ192" s="472" t="str">
        <x:f>IF($AK192="","",SUMIFS('3. 일출(의존)'!$AH$8:$AH$1989,'3. 일출(의존)'!$AN$8:$AN$1989,$AK192))</x:f>
        <x:v/>
      </x:c>
      <x:c r="BA192" s="377" t="str">
        <x:f>IF($AK192="","",COUNTIF('3. 일출(의존)'!$AN$7:$AN$1989,$AK192))</x:f>
        <x:v/>
      </x:c>
      <x:c r="BB192" s="374" t="str">
        <x:f t="shared" si="282"/>
        <x:v/>
      </x:c>
      <x:c r="BC192" s="472" t="str">
        <x:f>IF($AN192="","",IF($AO192="지역개발기금",SUMIFS('3. 일출(의존)'!$AK$8:$AK$2000,'3. 일출(의존)'!$AS$8:$AS$2000,$AN192)+SUMIFS('3. 일출(자체)'!$AJ$8:$AJ$2000,'3. 일출(자체)'!$AM$8:$AM$2000,$AN192),IF($AO192="지방채",SUMIFS('3. 일출(의존)'!$AJ$8:$AJ$2000,'3. 일출(의존)'!$AS$8:$AS$2000,$AN192)+SUMIFS('3. 일출(자체)'!$AI$8:$AI$2000,'3. 일출(자체)'!$AM$8:$AM$2000,$AN192),0)))</x:f>
        <x:v/>
      </x:c>
      <x:c r="BD192" s="377" t="str">
        <x:f>IF($AN192="","",COUNTIF('3. 일출(의존)'!$AS$8:$AS$2000,$AN192)+COUNTIF('3. 일출(자체)'!$AM$8:$AM$2000,$AN192))</x:f>
        <x:v/>
      </x:c>
      <x:c r="BE192" s="374" t="str">
        <x:f t="shared" si="283"/>
        <x:v/>
      </x:c>
    </x:row>
    <x:row r="193" spans="1:57" s="20" customFormat="1" ht="80.099999999999994" customHeight="1">
      <x:c r="A193" s="155" t="str">
        <x:f>IF(D193="","",COUNTA($C$8:C193)-COUNTBLANK($C$8:C193)+11)</x:f>
        <x:v/>
      </x:c>
      <x:c r="B193" s="156" t="str">
        <x:f>IF(D193="","",IF(OR(C193="직접입력",D193="북부지원"),"직접입력",IF(OR(AND(D193="인사과",C193="의회사무처"),AND(D193="총무과",C193="의회사무처")),"의회운영위원회",IF(OR(C193="직접입력",D193="북부지원"),"직접입력",IF(OR(AND(D193="인사과",C193="자치행정국"),AND(D193="총무과",C193="자치행정국")),"안전행정위원회",VLOOKUP(D193,구분표!$A$3:$C$258,2,))))))</x:f>
        <x:v/>
      </x:c>
      <x:c r="C193" s="156" t="str">
        <x:f>IF(D193="","",IF(OR(D193="교육지원과",D193="총무과",D193="인사과"),"직접입력",VLOOKUP(D193,구분표!$A$3:$C$258,3,)))</x:f>
        <x:v/>
      </x:c>
      <x:c r="D193" s="219"/>
      <x:c r="E193" s="213"/>
      <x:c r="F193" s="388" t="str">
        <x:f t="shared" si="284"/>
        <x:v/>
      </x:c>
      <x:c r="G193" s="388" t="str">
        <x:f t="shared" si="284"/>
        <x:v/>
      </x:c>
      <x:c r="H193" s="213"/>
      <x:c r="I193" s="156" t="str">
        <x:f>IF(H193="","",VLOOKUP($H193,구분표!$O$3:$P$168,2,FALSE))</x:f>
        <x:v/>
      </x:c>
      <x:c r="J193" s="215"/>
      <x:c r="K193" s="459" t="str">
        <x:f t="shared" si="285"/>
        <x:v/>
      </x:c>
      <x:c r="L193" s="459" t="str">
        <x:f t="shared" si="286"/>
        <x:v/>
      </x:c>
      <x:c r="M193" s="461" t="str">
        <x:f t="shared" si="265"/>
        <x:v/>
      </x:c>
      <x:c r="N193" s="460"/>
      <x:c r="O193" s="461">
        <x:f t="shared" si="266"/>
        <x:v>0</x:v>
      </x:c>
      <x:c r="P193" s="462"/>
      <x:c r="Q193" s="463">
        <x:f t="shared" si="267"/>
        <x:v>0</x:v>
      </x:c>
      <x:c r="R193" s="162" t="str">
        <x:f t="shared" si="268"/>
        <x:v>X</x:v>
      </x:c>
      <x:c r="S193" s="216"/>
      <x:c r="T193" s="327"/>
      <x:c r="U193" s="217"/>
      <x:c r="V193" s="203"/>
      <x:c r="W193" s="217"/>
      <x:c r="X193" s="217"/>
      <x:c r="Y193" s="162" t="str">
        <x:f t="shared" si="269"/>
        <x:v/>
      </x:c>
      <x:c r="Z193" s="45"/>
      <x:c r="AA193" s="471" t="str">
        <x:f t="shared" si="270"/>
        <x:v/>
      </x:c>
      <x:c r="AB193" s="471" t="str">
        <x:f t="shared" si="271"/>
        <x:v/>
      </x:c>
      <x:c r="AC193" s="471" t="str">
        <x:f t="shared" si="272"/>
        <x:v/>
      </x:c>
      <x:c r="AD193" s="471" t="str">
        <x:f t="shared" si="273"/>
        <x:v/>
      </x:c>
      <x:c r="AE193" s="46"/>
      <x:c r="AF193" s="471" t="str">
        <x:f t="shared" si="274"/>
        <x:v/>
      </x:c>
      <x:c r="AG193" s="471" t="str">
        <x:f t="shared" si="275"/>
        <x:v/>
      </x:c>
      <x:c r="AH193" s="471" t="str">
        <x:f t="shared" si="276"/>
        <x:v/>
      </x:c>
      <x:c r="AI193" s="471" t="str">
        <x:f t="shared" si="277"/>
        <x:v/>
      </x:c>
      <x:c r="AJ193" s="87"/>
      <x:c r="AK193" s="374" t="str">
        <x:f>IF($AQ193="","",IF(OR($AL193="",$AL193="도비"),"",CONCATENATE($AQ193,"-",COUNTIF($AQ$8:$AQ193,$AQ193))))</x:f>
        <x:v/>
      </x:c>
      <x:c r="AL193" s="374" t="str">
        <x:f t="shared" si="278"/>
        <x:v/>
      </x:c>
      <x:c r="AM193" s="87"/>
      <x:c r="AN193" s="375" t="str">
        <x:f>IF($AQ193="","",IF(OR($AO193="",$AO193="국비",$AO193="자체"),"",CONCATENATE($AQ193,"-",$AO193,"-",COUNTIF($AQ$8:$AQ193,$AQ193))))</x:f>
        <x:v/>
      </x:c>
      <x:c r="AO193" s="375" t="str">
        <x:f t="shared" si="279"/>
        <x:v/>
      </x:c>
      <x:c r="AP193" s="87"/>
      <x:c r="AQ193" s="374" t="str">
        <x:f t="array" ref="AQ193:AQ193">IF(OR($D193="",$C193="직접입력",$B193="직접입력"),"",INDEX(구분표!$I$2:$I$337,MATCH(1,(구분표!$G$2:$G$337='3. 일입'!$B193)*(구분표!$E$2:$E$337='3. 일입'!$C193)*(구분표!$F$2:$F$337='3. 일입'!$D193),0)))</x:f>
        <x:v/>
      </x:c>
      <x:c r="AR193" s="87"/>
      <x:c r="AS193" s="472" t="str">
        <x:f>IF($AK193="","",SUMIFS('3. 일출(의존)'!$AB$7:$AB$1989,'3. 일출(의존)'!$AN$7:$AN$1989,$AK193))</x:f>
        <x:v/>
      </x:c>
      <x:c r="AT193" s="377" t="str">
        <x:f>IF($AK193="","",COUNTIF('3. 일출(의존)'!$AN$7:$AN$1989,$AK193))</x:f>
        <x:v/>
      </x:c>
      <x:c r="AU193" s="374" t="str">
        <x:f t="shared" si="280"/>
        <x:v/>
      </x:c>
      <x:c r="AV193" s="472" t="str">
        <x:f>IF($AN193="","",IF($AO193="지역개발기금",SUMIFS('3. 일출(의존)'!$AE$8:$AE$2000,'3. 일출(의존)'!$AS$8:$AS$2000,$AN193)+SUMIFS('3. 일출(자체)'!$AE$8:$AE$2000,'3. 일출(자체)'!$AM$8:$AM$2000,$AN193),IF($AO193="지방채",SUMIFS('3. 일출(의존)'!$AD$8:$AD$2000,'3. 일출(의존)'!$AS$8:$AS$2000,$AN193)+SUMIFS('3. 일출(자체)'!$AD$8:$AD$2000,'3. 일출(자체)'!$AM$8:$AM$2000,$AN193),0)))</x:f>
        <x:v/>
      </x:c>
      <x:c r="AW193" s="377" t="str">
        <x:f>IF($AN193="","",COUNTIF('3. 일출(의존)'!$AS$8:$AS$2000,$AN193)+COUNTIF('3. 일출(자체)'!$AM$8:$AM$2000,$AN193))</x:f>
        <x:v/>
      </x:c>
      <x:c r="AX193" s="374" t="str">
        <x:f t="shared" si="281"/>
        <x:v/>
      </x:c>
      <x:c r="AY193" s="91"/>
      <x:c r="AZ193" s="472" t="str">
        <x:f>IF($AK193="","",SUMIFS('3. 일출(의존)'!$AH$8:$AH$1989,'3. 일출(의존)'!$AN$8:$AN$1989,$AK193))</x:f>
        <x:v/>
      </x:c>
      <x:c r="BA193" s="377" t="str">
        <x:f>IF($AK193="","",COUNTIF('3. 일출(의존)'!$AN$7:$AN$1989,$AK193))</x:f>
        <x:v/>
      </x:c>
      <x:c r="BB193" s="374" t="str">
        <x:f t="shared" si="282"/>
        <x:v/>
      </x:c>
      <x:c r="BC193" s="472" t="str">
        <x:f>IF($AN193="","",IF($AO193="지역개발기금",SUMIFS('3. 일출(의존)'!$AK$8:$AK$2000,'3. 일출(의존)'!$AS$8:$AS$2000,$AN193)+SUMIFS('3. 일출(자체)'!$AJ$8:$AJ$2000,'3. 일출(자체)'!$AM$8:$AM$2000,$AN193),IF($AO193="지방채",SUMIFS('3. 일출(의존)'!$AJ$8:$AJ$2000,'3. 일출(의존)'!$AS$8:$AS$2000,$AN193)+SUMIFS('3. 일출(자체)'!$AI$8:$AI$2000,'3. 일출(자체)'!$AM$8:$AM$2000,$AN193),0)))</x:f>
        <x:v/>
      </x:c>
      <x:c r="BD193" s="377" t="str">
        <x:f>IF($AN193="","",COUNTIF('3. 일출(의존)'!$AS$8:$AS$2000,$AN193)+COUNTIF('3. 일출(자체)'!$AM$8:$AM$2000,$AN193))</x:f>
        <x:v/>
      </x:c>
      <x:c r="BE193" s="374" t="str">
        <x:f t="shared" si="283"/>
        <x:v/>
      </x:c>
    </x:row>
    <x:row r="194" spans="1:57" s="20" customFormat="1" ht="80.099999999999994" customHeight="1">
      <x:c r="A194" s="155" t="str">
        <x:f>IF(D194="","",COUNTA($C$8:C194)-COUNTBLANK($C$8:C194)+11)</x:f>
        <x:v/>
      </x:c>
      <x:c r="B194" s="156" t="str">
        <x:f>IF(D194="","",IF(OR(C194="직접입력",D194="북부지원"),"직접입력",IF(OR(AND(D194="인사과",C194="의회사무처"),AND(D194="총무과",C194="의회사무처")),"의회운영위원회",IF(OR(C194="직접입력",D194="북부지원"),"직접입력",IF(OR(AND(D194="인사과",C194="자치행정국"),AND(D194="총무과",C194="자치행정국")),"안전행정위원회",VLOOKUP(D194,구분표!$A$3:$C$258,2,))))))</x:f>
        <x:v/>
      </x:c>
      <x:c r="C194" s="156" t="str">
        <x:f>IF(D194="","",IF(OR(D194="교육지원과",D194="총무과",D194="인사과"),"직접입력",VLOOKUP(D194,구분표!$A$3:$C$258,3,)))</x:f>
        <x:v/>
      </x:c>
      <x:c r="D194" s="219"/>
      <x:c r="E194" s="213"/>
      <x:c r="F194" s="388" t="str">
        <x:f t="shared" si="284"/>
        <x:v/>
      </x:c>
      <x:c r="G194" s="388" t="str">
        <x:f t="shared" si="284"/>
        <x:v/>
      </x:c>
      <x:c r="H194" s="213"/>
      <x:c r="I194" s="156" t="str">
        <x:f>IF(H194="","",VLOOKUP($H194,구분표!$O$3:$P$168,2,FALSE))</x:f>
        <x:v/>
      </x:c>
      <x:c r="J194" s="215"/>
      <x:c r="K194" s="459" t="str">
        <x:f t="shared" si="285"/>
        <x:v/>
      </x:c>
      <x:c r="L194" s="459" t="str">
        <x:f t="shared" si="286"/>
        <x:v/>
      </x:c>
      <x:c r="M194" s="461" t="str">
        <x:f t="shared" si="265"/>
        <x:v/>
      </x:c>
      <x:c r="N194" s="460"/>
      <x:c r="O194" s="461">
        <x:f t="shared" si="266"/>
        <x:v>0</x:v>
      </x:c>
      <x:c r="P194" s="462"/>
      <x:c r="Q194" s="463">
        <x:f t="shared" si="267"/>
        <x:v>0</x:v>
      </x:c>
      <x:c r="R194" s="162" t="str">
        <x:f t="shared" si="268"/>
        <x:v>X</x:v>
      </x:c>
      <x:c r="S194" s="216"/>
      <x:c r="T194" s="327"/>
      <x:c r="U194" s="217"/>
      <x:c r="V194" s="203"/>
      <x:c r="W194" s="217"/>
      <x:c r="X194" s="217"/>
      <x:c r="Y194" s="162" t="str">
        <x:f t="shared" si="269"/>
        <x:v/>
      </x:c>
      <x:c r="Z194" s="45"/>
      <x:c r="AA194" s="471" t="str">
        <x:f t="shared" si="270"/>
        <x:v/>
      </x:c>
      <x:c r="AB194" s="471" t="str">
        <x:f t="shared" si="271"/>
        <x:v/>
      </x:c>
      <x:c r="AC194" s="471" t="str">
        <x:f t="shared" si="272"/>
        <x:v/>
      </x:c>
      <x:c r="AD194" s="471" t="str">
        <x:f t="shared" si="273"/>
        <x:v/>
      </x:c>
      <x:c r="AE194" s="46"/>
      <x:c r="AF194" s="471" t="str">
        <x:f t="shared" si="274"/>
        <x:v/>
      </x:c>
      <x:c r="AG194" s="471" t="str">
        <x:f t="shared" si="275"/>
        <x:v/>
      </x:c>
      <x:c r="AH194" s="471" t="str">
        <x:f t="shared" si="276"/>
        <x:v/>
      </x:c>
      <x:c r="AI194" s="471" t="str">
        <x:f t="shared" si="277"/>
        <x:v/>
      </x:c>
      <x:c r="AJ194" s="87"/>
      <x:c r="AK194" s="374" t="str">
        <x:f>IF($AQ194="","",IF(OR($AL194="",$AL194="도비"),"",CONCATENATE($AQ194,"-",COUNTIF($AQ$8:$AQ194,$AQ194))))</x:f>
        <x:v/>
      </x:c>
      <x:c r="AL194" s="374" t="str">
        <x:f t="shared" si="278"/>
        <x:v/>
      </x:c>
      <x:c r="AM194" s="87"/>
      <x:c r="AN194" s="375" t="str">
        <x:f>IF($AQ194="","",IF(OR($AO194="",$AO194="국비",$AO194="자체"),"",CONCATENATE($AQ194,"-",$AO194,"-",COUNTIF($AQ$8:$AQ194,$AQ194))))</x:f>
        <x:v/>
      </x:c>
      <x:c r="AO194" s="375" t="str">
        <x:f t="shared" si="279"/>
        <x:v/>
      </x:c>
      <x:c r="AP194" s="87"/>
      <x:c r="AQ194" s="374" t="str">
        <x:f t="array" ref="AQ194:AQ194">IF(OR($D194="",$C194="직접입력",$B194="직접입력"),"",INDEX(구분표!$I$2:$I$337,MATCH(1,(구분표!$G$2:$G$337='3. 일입'!$B194)*(구분표!$E$2:$E$337='3. 일입'!$C194)*(구분표!$F$2:$F$337='3. 일입'!$D194),0)))</x:f>
        <x:v/>
      </x:c>
      <x:c r="AR194" s="87"/>
      <x:c r="AS194" s="472" t="str">
        <x:f>IF($AK194="","",SUMIFS('3. 일출(의존)'!$AB$7:$AB$1989,'3. 일출(의존)'!$AN$7:$AN$1989,$AK194))</x:f>
        <x:v/>
      </x:c>
      <x:c r="AT194" s="377" t="str">
        <x:f>IF($AK194="","",COUNTIF('3. 일출(의존)'!$AN$7:$AN$1989,$AK194))</x:f>
        <x:v/>
      </x:c>
      <x:c r="AU194" s="374" t="str">
        <x:f t="shared" si="280"/>
        <x:v/>
      </x:c>
      <x:c r="AV194" s="472" t="str">
        <x:f>IF($AN194="","",IF($AO194="지역개발기금",SUMIFS('3. 일출(의존)'!$AE$8:$AE$2000,'3. 일출(의존)'!$AS$8:$AS$2000,$AN194)+SUMIFS('3. 일출(자체)'!$AE$8:$AE$2000,'3. 일출(자체)'!$AM$8:$AM$2000,$AN194),IF($AO194="지방채",SUMIFS('3. 일출(의존)'!$AD$8:$AD$2000,'3. 일출(의존)'!$AS$8:$AS$2000,$AN194)+SUMIFS('3. 일출(자체)'!$AD$8:$AD$2000,'3. 일출(자체)'!$AM$8:$AM$2000,$AN194),0)))</x:f>
        <x:v/>
      </x:c>
      <x:c r="AW194" s="377" t="str">
        <x:f>IF($AN194="","",COUNTIF('3. 일출(의존)'!$AS$8:$AS$2000,$AN194)+COUNTIF('3. 일출(자체)'!$AM$8:$AM$2000,$AN194))</x:f>
        <x:v/>
      </x:c>
      <x:c r="AX194" s="374" t="str">
        <x:f t="shared" si="281"/>
        <x:v/>
      </x:c>
      <x:c r="AY194" s="91"/>
      <x:c r="AZ194" s="472" t="str">
        <x:f>IF($AK194="","",SUMIFS('3. 일출(의존)'!$AH$8:$AH$1989,'3. 일출(의존)'!$AN$8:$AN$1989,$AK194))</x:f>
        <x:v/>
      </x:c>
      <x:c r="BA194" s="377" t="str">
        <x:f>IF($AK194="","",COUNTIF('3. 일출(의존)'!$AN$7:$AN$1989,$AK194))</x:f>
        <x:v/>
      </x:c>
      <x:c r="BB194" s="374" t="str">
        <x:f t="shared" si="282"/>
        <x:v/>
      </x:c>
      <x:c r="BC194" s="472" t="str">
        <x:f>IF($AN194="","",IF($AO194="지역개발기금",SUMIFS('3. 일출(의존)'!$AK$8:$AK$2000,'3. 일출(의존)'!$AS$8:$AS$2000,$AN194)+SUMIFS('3. 일출(자체)'!$AJ$8:$AJ$2000,'3. 일출(자체)'!$AM$8:$AM$2000,$AN194),IF($AO194="지방채",SUMIFS('3. 일출(의존)'!$AJ$8:$AJ$2000,'3. 일출(의존)'!$AS$8:$AS$2000,$AN194)+SUMIFS('3. 일출(자체)'!$AI$8:$AI$2000,'3. 일출(자체)'!$AM$8:$AM$2000,$AN194),0)))</x:f>
        <x:v/>
      </x:c>
      <x:c r="BD194" s="377" t="str">
        <x:f>IF($AN194="","",COUNTIF('3. 일출(의존)'!$AS$8:$AS$2000,$AN194)+COUNTIF('3. 일출(자체)'!$AM$8:$AM$2000,$AN194))</x:f>
        <x:v/>
      </x:c>
      <x:c r="BE194" s="374" t="str">
        <x:f t="shared" si="283"/>
        <x:v/>
      </x:c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autoFilter ref="A7:BE194"/>
  <x:mergeCells count="62">
    <x:mergeCell ref="AF1:AI1"/>
    <x:mergeCell ref="AA1:AD1"/>
    <x:mergeCell ref="AA5:AA6"/>
    <x:mergeCell ref="AF5:AF6"/>
    <x:mergeCell ref="AB5:AD5"/>
    <x:mergeCell ref="AA4:AD4"/>
    <x:mergeCell ref="AF4:AI4"/>
    <x:mergeCell ref="AG5:AI5"/>
    <x:mergeCell ref="AK1:AL1"/>
    <x:mergeCell ref="A1:Y1"/>
    <x:mergeCell ref="G4:G6"/>
    <x:mergeCell ref="M4:M6"/>
    <x:mergeCell ref="W4:W6"/>
    <x:mergeCell ref="V4:V6"/>
    <x:mergeCell ref="A4:A6"/>
    <x:mergeCell ref="Q4:Q6"/>
    <x:mergeCell ref="B4:B6"/>
    <x:mergeCell ref="J4:J6"/>
    <x:mergeCell ref="F4:F6"/>
    <x:mergeCell ref="E4:E6"/>
    <x:mergeCell ref="D4:D6"/>
    <x:mergeCell ref="O4:O6"/>
    <x:mergeCell ref="R4:R6"/>
    <x:mergeCell ref="Y4:Y6"/>
    <x:mergeCell ref="B178:G178"/>
    <x:mergeCell ref="N4:N6"/>
    <x:mergeCell ref="P4:P6"/>
    <x:mergeCell ref="B42:G42"/>
    <x:mergeCell ref="I4:I6"/>
    <x:mergeCell ref="H4:H6"/>
    <x:mergeCell ref="B161:G161"/>
    <x:mergeCell ref="B59:G59"/>
    <x:mergeCell ref="B76:G76"/>
    <x:mergeCell ref="B93:G93"/>
    <x:mergeCell ref="B110:G110"/>
    <x:mergeCell ref="B127:G127"/>
    <x:mergeCell ref="K4:K6"/>
    <x:mergeCell ref="L4:L6"/>
    <x:mergeCell ref="B144:G144"/>
    <x:mergeCell ref="B25:G25"/>
    <x:mergeCell ref="B8:G8"/>
    <x:mergeCell ref="C4:C6"/>
    <x:mergeCell ref="AV5:AX5"/>
    <x:mergeCell ref="AN5:AN6"/>
    <x:mergeCell ref="AK4:AL4"/>
    <x:mergeCell ref="AK5:AK6"/>
    <x:mergeCell ref="AL5:AL6"/>
    <x:mergeCell ref="S4:S6"/>
    <x:mergeCell ref="T4:T6"/>
    <x:mergeCell ref="U4:U6"/>
    <x:mergeCell ref="X4:X6"/>
    <x:mergeCell ref="AS1:AX1"/>
    <x:mergeCell ref="AS4:AX4"/>
    <x:mergeCell ref="AO5:AO6"/>
    <x:mergeCell ref="BC5:BE5"/>
    <x:mergeCell ref="AZ4:BE4"/>
    <x:mergeCell ref="AZ1:BE1"/>
    <x:mergeCell ref="AZ5:BB5"/>
    <x:mergeCell ref="AS5:AU5"/>
    <x:mergeCell ref="AQ4:AQ6"/>
    <x:mergeCell ref="AN1:AO1"/>
    <x:mergeCell ref="AN4:AO4"/>
  </x:mergeCells>
  <x:conditionalFormatting sqref="M1:M7 M9:M24 M26:M41 M43:M58 M60:M75 M77:M92 M94:M109 M111:M126 M128:M143 M145:M160 M162:M177 M179:M1048576">
    <x:cfRule type="containsText" dxfId="1190" priority="684" operator="containsText" text="금액입력">
      <x:formula>NOT(ISERROR(SEARCH("금액입력",M1)))</x:formula>
    </x:cfRule>
  </x:conditionalFormatting>
  <x:conditionalFormatting sqref="F1:G8 F76:G76 F178:G178 F144:G144 F25:G25 F42:G42 F59:G59 F93:G93 F110:G110 F127:G127 F161:G161 F195:G1048576">
    <x:cfRule type="containsText" dxfId="1189" priority="683" operator="containsText" text="직접입력">
      <x:formula>NOT(ISERROR(SEARCH("직접입력",F1)))</x:formula>
    </x:cfRule>
  </x:conditionalFormatting>
  <x:conditionalFormatting sqref="J1:L3 J195:L1048576 J4:J24 J26:J41 J43:J58 J60:J75 J77:J92 J94:J109 J111:J126 J128:J143 J145:J160 J162:J177 J179:J194">
    <x:cfRule type="containsText" dxfId="1188" priority="682" operator="containsText" text="부기명 입력">
      <x:formula>NOT(ISERROR(SEARCH("부기명 입력",J1)))</x:formula>
    </x:cfRule>
  </x:conditionalFormatting>
  <x:conditionalFormatting sqref="AX1:AX7 BE1:BE7 AX9:AX24 BE9:BE24 AX26:AX41 BE26:BE41 AX43:AX58 BE43:BE58 AX60:AX75 BE60:BE75 AX77:AX92 BE77:BE92 AX94:AX109 BE94:BE109 AX111:AX126 BE111:BE126 AX128:AX143 BE128:BE143 AX145:AX160 BE145:BE160 AX162:AX177 BE162:BE177 AX179:AX1048576 BE179:BE1048576">
    <x:cfRule type="containsText" dxfId="1187" priority="681" operator="containsText" text="@@">
      <x:formula>NOT(ISERROR(SEARCH("@@",AX1)))</x:formula>
    </x:cfRule>
  </x:conditionalFormatting>
  <x:conditionalFormatting sqref="K4:K6">
    <x:cfRule type="containsText" dxfId="1186" priority="640" operator="containsText" text="금액입력">
      <x:formula>NOT(ISERROR(SEARCH("금액입력",K4)))</x:formula>
    </x:cfRule>
  </x:conditionalFormatting>
  <x:conditionalFormatting sqref="L4:L6">
    <x:cfRule type="containsText" dxfId="1185" priority="639" operator="containsText" text="금액입력">
      <x:formula>NOT(ISERROR(SEARCH("금액입력",L4)))</x:formula>
    </x:cfRule>
  </x:conditionalFormatting>
  <x:conditionalFormatting sqref="K7:L7">
    <x:cfRule type="containsText" dxfId="1184" priority="638" operator="containsText" text="금액입력">
      <x:formula>NOT(ISERROR(SEARCH("금액입력",K7)))</x:formula>
    </x:cfRule>
  </x:conditionalFormatting>
  <x:conditionalFormatting sqref="M8:Q8">
    <x:cfRule type="containsText" dxfId="1183" priority="635" operator="containsText" text="금액입력">
      <x:formula>NOT(ISERROR(SEARCH("금액입력",M8)))</x:formula>
    </x:cfRule>
  </x:conditionalFormatting>
  <x:conditionalFormatting sqref="J25:J25">
    <x:cfRule type="containsText" dxfId="1182" priority="590" operator="containsText" text="부기명 입력">
      <x:formula>NOT(ISERROR(SEARCH("부기명 입력",J25)))</x:formula>
    </x:cfRule>
  </x:conditionalFormatting>
  <x:conditionalFormatting sqref="M25:Q25">
    <x:cfRule type="containsText" dxfId="1181" priority="587" operator="containsText" text="금액입력">
      <x:formula>NOT(ISERROR(SEARCH("금액입력",M25)))</x:formula>
    </x:cfRule>
  </x:conditionalFormatting>
  <x:conditionalFormatting sqref="J42:J42">
    <x:cfRule type="containsText" dxfId="1180" priority="581" operator="containsText" text="부기명 입력">
      <x:formula>NOT(ISERROR(SEARCH("부기명 입력",J42)))</x:formula>
    </x:cfRule>
  </x:conditionalFormatting>
  <x:conditionalFormatting sqref="M42:Q42">
    <x:cfRule type="containsText" dxfId="1179" priority="578" operator="containsText" text="금액입력">
      <x:formula>NOT(ISERROR(SEARCH("금액입력",M42)))</x:formula>
    </x:cfRule>
  </x:conditionalFormatting>
  <x:conditionalFormatting sqref="J59:J59">
    <x:cfRule type="containsText" dxfId="1178" priority="572" operator="containsText" text="부기명 입력">
      <x:formula>NOT(ISERROR(SEARCH("부기명 입력",J59)))</x:formula>
    </x:cfRule>
  </x:conditionalFormatting>
  <x:conditionalFormatting sqref="M59:Q59">
    <x:cfRule type="containsText" dxfId="1177" priority="569" operator="containsText" text="금액입력">
      <x:formula>NOT(ISERROR(SEARCH("금액입력",M59)))</x:formula>
    </x:cfRule>
  </x:conditionalFormatting>
  <x:conditionalFormatting sqref="J76:J76">
    <x:cfRule type="containsText" dxfId="1176" priority="563" operator="containsText" text="부기명 입력">
      <x:formula>NOT(ISERROR(SEARCH("부기명 입력",J76)))</x:formula>
    </x:cfRule>
  </x:conditionalFormatting>
  <x:conditionalFormatting sqref="M76:Q76">
    <x:cfRule type="containsText" dxfId="1175" priority="560" operator="containsText" text="금액입력">
      <x:formula>NOT(ISERROR(SEARCH("금액입력",M76)))</x:formula>
    </x:cfRule>
  </x:conditionalFormatting>
  <x:conditionalFormatting sqref="J93:J93">
    <x:cfRule type="containsText" dxfId="1174" priority="554" operator="containsText" text="부기명 입력">
      <x:formula>NOT(ISERROR(SEARCH("부기명 입력",J93)))</x:formula>
    </x:cfRule>
  </x:conditionalFormatting>
  <x:conditionalFormatting sqref="M93:Q93">
    <x:cfRule type="containsText" dxfId="1173" priority="551" operator="containsText" text="금액입력">
      <x:formula>NOT(ISERROR(SEARCH("금액입력",M93)))</x:formula>
    </x:cfRule>
  </x:conditionalFormatting>
  <x:conditionalFormatting sqref="J110:J110">
    <x:cfRule type="containsText" dxfId="1172" priority="545" operator="containsText" text="부기명 입력">
      <x:formula>NOT(ISERROR(SEARCH("부기명 입력",J110)))</x:formula>
    </x:cfRule>
  </x:conditionalFormatting>
  <x:conditionalFormatting sqref="M110:Q110">
    <x:cfRule type="containsText" dxfId="1171" priority="542" operator="containsText" text="금액입력">
      <x:formula>NOT(ISERROR(SEARCH("금액입력",M110)))</x:formula>
    </x:cfRule>
  </x:conditionalFormatting>
  <x:conditionalFormatting sqref="J127:J127">
    <x:cfRule type="containsText" dxfId="1170" priority="536" operator="containsText" text="부기명 입력">
      <x:formula>NOT(ISERROR(SEARCH("부기명 입력",J127)))</x:formula>
    </x:cfRule>
  </x:conditionalFormatting>
  <x:conditionalFormatting sqref="M127:Q127">
    <x:cfRule type="containsText" dxfId="1169" priority="533" operator="containsText" text="금액입력">
      <x:formula>NOT(ISERROR(SEARCH("금액입력",M127)))</x:formula>
    </x:cfRule>
  </x:conditionalFormatting>
  <x:conditionalFormatting sqref="J144:J144">
    <x:cfRule type="containsText" dxfId="1168" priority="527" operator="containsText" text="부기명 입력">
      <x:formula>NOT(ISERROR(SEARCH("부기명 입력",J144)))</x:formula>
    </x:cfRule>
  </x:conditionalFormatting>
  <x:conditionalFormatting sqref="M144:Q144">
    <x:cfRule type="containsText" dxfId="1167" priority="524" operator="containsText" text="금액입력">
      <x:formula>NOT(ISERROR(SEARCH("금액입력",M144)))</x:formula>
    </x:cfRule>
  </x:conditionalFormatting>
  <x:conditionalFormatting sqref="J161:J161">
    <x:cfRule type="containsText" dxfId="1166" priority="518" operator="containsText" text="부기명 입력">
      <x:formula>NOT(ISERROR(SEARCH("부기명 입력",J161)))</x:formula>
    </x:cfRule>
  </x:conditionalFormatting>
  <x:conditionalFormatting sqref="M161:Q161">
    <x:cfRule type="containsText" dxfId="1165" priority="515" operator="containsText" text="금액입력">
      <x:formula>NOT(ISERROR(SEARCH("금액입력",M161)))</x:formula>
    </x:cfRule>
  </x:conditionalFormatting>
  <x:conditionalFormatting sqref="J178:J178">
    <x:cfRule type="containsText" dxfId="1164" priority="509" operator="containsText" text="부기명 입력">
      <x:formula>NOT(ISERROR(SEARCH("부기명 입력",J178)))</x:formula>
    </x:cfRule>
  </x:conditionalFormatting>
  <x:conditionalFormatting sqref="M178:Q178">
    <x:cfRule type="containsText" dxfId="1163" priority="506" operator="containsText" text="금액입력">
      <x:formula>NOT(ISERROR(SEARCH("금액입력",M178)))</x:formula>
    </x:cfRule>
  </x:conditionalFormatting>
  <x:conditionalFormatting sqref="AU9:AU24 AU26:AU41 AU43:AU58 AU60:AU75 AU77:AU92 AU94:AU109 AU111:AU126 AU128:AU143 AU145:AU160 AU162:AU177 AU179:AU194">
    <x:cfRule type="containsText" dxfId="1162" priority="470" operator="containsText" text="@@">
      <x:formula>NOT(ISERROR(SEARCH("@@",AU9)))</x:formula>
    </x:cfRule>
  </x:conditionalFormatting>
  <x:conditionalFormatting sqref="BB9:BB24 BB26:BB41 BB43:BB58 BB60:BB75 BB77:BB92 BB94:BB109 BB111:BB126 BB128:BB143 BB145:BB160 BB162:BB177 BB179:BB194">
    <x:cfRule type="containsText" dxfId="1161" priority="468" operator="containsText" text="@@">
      <x:formula>NOT(ISERROR(SEARCH("@@",BB9)))</x:formula>
    </x:cfRule>
  </x:conditionalFormatting>
  <x:conditionalFormatting sqref="AU7:AU7">
    <x:cfRule type="containsText" dxfId="1160" priority="403" operator="containsText" text="@@">
      <x:formula>NOT(ISERROR(SEARCH("@@",AU7)))</x:formula>
    </x:cfRule>
  </x:conditionalFormatting>
  <x:conditionalFormatting sqref="BB7:BB7">
    <x:cfRule type="containsText" dxfId="1159" priority="402" operator="containsText" text="@@">
      <x:formula>NOT(ISERROR(SEARCH("@@",BB7)))</x:formula>
    </x:cfRule>
  </x:conditionalFormatting>
  <x:conditionalFormatting sqref="F9:G24">
    <x:cfRule type="containsText" dxfId="1158" priority="241" operator="containsText" text="직접입력">
      <x:formula>NOT(ISERROR(SEARCH("직접입력",F9)))</x:formula>
    </x:cfRule>
  </x:conditionalFormatting>
  <x:conditionalFormatting sqref="B9:C24 B26:C41 B43:C58 B60:C75 B77:C92 B94:C109 B111:C126 B128:C143 B145:C160 B162:C177 B179:C194">
    <x:cfRule type="containsText" dxfId="1157" priority="240" operator="containsText" text="직접입력">
      <x:formula>NOT(ISERROR(SEARCH("직접입력",B9)))</x:formula>
    </x:cfRule>
  </x:conditionalFormatting>
  <x:conditionalFormatting sqref="K9:K24">
    <x:cfRule type="containsText" dxfId="1156" priority="175" operator="containsText" text="부기명 입력">
      <x:formula>NOT(ISERROR(SEARCH("부기명 입력",K9)))</x:formula>
    </x:cfRule>
  </x:conditionalFormatting>
  <x:conditionalFormatting sqref="K9:K24">
    <x:cfRule type="containsText" dxfId="1155" priority="174" operator="containsText" text="금액입력">
      <x:formula>NOT(ISERROR(SEARCH("금액입력",K9)))</x:formula>
    </x:cfRule>
  </x:conditionalFormatting>
  <x:conditionalFormatting sqref="L9:L24">
    <x:cfRule type="containsText" dxfId="1154" priority="173" operator="containsText" text="금액입력">
      <x:formula>NOT(ISERROR(SEARCH("금액입력",L9)))</x:formula>
    </x:cfRule>
  </x:conditionalFormatting>
  <x:conditionalFormatting sqref="K8:L8">
    <x:cfRule type="containsText" dxfId="1153" priority="172" operator="containsText" text="금액입력">
      <x:formula>NOT(ISERROR(SEARCH("금액입력",K8)))</x:formula>
    </x:cfRule>
  </x:conditionalFormatting>
  <x:conditionalFormatting sqref="K25:L25">
    <x:cfRule type="containsText" dxfId="1152" priority="171" operator="containsText" text="금액입력">
      <x:formula>NOT(ISERROR(SEARCH("금액입력",K25)))</x:formula>
    </x:cfRule>
  </x:conditionalFormatting>
  <x:conditionalFormatting sqref="K42:L42">
    <x:cfRule type="containsText" dxfId="1151" priority="170" operator="containsText" text="금액입력">
      <x:formula>NOT(ISERROR(SEARCH("금액입력",K42)))</x:formula>
    </x:cfRule>
  </x:conditionalFormatting>
  <x:conditionalFormatting sqref="K59:L59">
    <x:cfRule type="containsText" dxfId="1150" priority="169" operator="containsText" text="금액입력">
      <x:formula>NOT(ISERROR(SEARCH("금액입력",K59)))</x:formula>
    </x:cfRule>
  </x:conditionalFormatting>
  <x:conditionalFormatting sqref="K76:L76">
    <x:cfRule type="containsText" dxfId="1149" priority="168" operator="containsText" text="금액입력">
      <x:formula>NOT(ISERROR(SEARCH("금액입력",K76)))</x:formula>
    </x:cfRule>
  </x:conditionalFormatting>
  <x:conditionalFormatting sqref="K93:L93">
    <x:cfRule type="containsText" dxfId="1148" priority="167" operator="containsText" text="금액입력">
      <x:formula>NOT(ISERROR(SEARCH("금액입력",K93)))</x:formula>
    </x:cfRule>
  </x:conditionalFormatting>
  <x:conditionalFormatting sqref="K110:L110">
    <x:cfRule type="containsText" dxfId="1147" priority="166" operator="containsText" text="금액입력">
      <x:formula>NOT(ISERROR(SEARCH("금액입력",K110)))</x:formula>
    </x:cfRule>
  </x:conditionalFormatting>
  <x:conditionalFormatting sqref="K127:L127">
    <x:cfRule type="containsText" dxfId="1146" priority="165" operator="containsText" text="금액입력">
      <x:formula>NOT(ISERROR(SEARCH("금액입력",K127)))</x:formula>
    </x:cfRule>
  </x:conditionalFormatting>
  <x:conditionalFormatting sqref="K144:L144">
    <x:cfRule type="containsText" dxfId="1145" priority="164" operator="containsText" text="금액입력">
      <x:formula>NOT(ISERROR(SEARCH("금액입력",K144)))</x:formula>
    </x:cfRule>
  </x:conditionalFormatting>
  <x:conditionalFormatting sqref="K161:L161">
    <x:cfRule type="containsText" dxfId="1144" priority="163" operator="containsText" text="금액입력">
      <x:formula>NOT(ISERROR(SEARCH("금액입력",K161)))</x:formula>
    </x:cfRule>
  </x:conditionalFormatting>
  <x:conditionalFormatting sqref="K178:L178">
    <x:cfRule type="containsText" dxfId="1143" priority="162" operator="containsText" text="금액입력">
      <x:formula>NOT(ISERROR(SEARCH("금액입력",K178)))</x:formula>
    </x:cfRule>
  </x:conditionalFormatting>
  <x:conditionalFormatting sqref="F43:G58 F26:G41">
    <x:cfRule type="containsText" dxfId="1142" priority="39" operator="containsText" text="직접입력">
      <x:formula>NOT(ISERROR(SEARCH("직접입력",F26)))</x:formula>
    </x:cfRule>
  </x:conditionalFormatting>
  <x:conditionalFormatting sqref="F60:G75">
    <x:cfRule type="containsText" dxfId="1141" priority="38" operator="containsText" text="직접입력">
      <x:formula>NOT(ISERROR(SEARCH("직접입력",F60)))</x:formula>
    </x:cfRule>
  </x:conditionalFormatting>
  <x:conditionalFormatting sqref="F77:G92">
    <x:cfRule type="containsText" dxfId="1140" priority="37" operator="containsText" text="직접입력">
      <x:formula>NOT(ISERROR(SEARCH("직접입력",F77)))</x:formula>
    </x:cfRule>
  </x:conditionalFormatting>
  <x:conditionalFormatting sqref="F94:G109">
    <x:cfRule type="containsText" dxfId="1139" priority="36" operator="containsText" text="직접입력">
      <x:formula>NOT(ISERROR(SEARCH("직접입력",F94)))</x:formula>
    </x:cfRule>
  </x:conditionalFormatting>
  <x:conditionalFormatting sqref="F111:G126">
    <x:cfRule type="containsText" dxfId="1138" priority="35" operator="containsText" text="직접입력">
      <x:formula>NOT(ISERROR(SEARCH("직접입력",F111)))</x:formula>
    </x:cfRule>
  </x:conditionalFormatting>
  <x:conditionalFormatting sqref="F128:G143">
    <x:cfRule type="containsText" dxfId="1137" priority="34" operator="containsText" text="직접입력">
      <x:formula>NOT(ISERROR(SEARCH("직접입력",F128)))</x:formula>
    </x:cfRule>
  </x:conditionalFormatting>
  <x:conditionalFormatting sqref="F145:G160">
    <x:cfRule type="containsText" dxfId="1136" priority="33" operator="containsText" text="직접입력">
      <x:formula>NOT(ISERROR(SEARCH("직접입력",F145)))</x:formula>
    </x:cfRule>
  </x:conditionalFormatting>
  <x:conditionalFormatting sqref="F162:G177">
    <x:cfRule type="containsText" dxfId="1135" priority="32" operator="containsText" text="직접입력">
      <x:formula>NOT(ISERROR(SEARCH("직접입력",F162)))</x:formula>
    </x:cfRule>
  </x:conditionalFormatting>
  <x:conditionalFormatting sqref="F179:G194">
    <x:cfRule type="containsText" dxfId="1134" priority="31" operator="containsText" text="직접입력">
      <x:formula>NOT(ISERROR(SEARCH("직접입력",F179)))</x:formula>
    </x:cfRule>
  </x:conditionalFormatting>
  <x:conditionalFormatting sqref="K26:K41">
    <x:cfRule type="containsText" dxfId="1133" priority="30" operator="containsText" text="부기명 입력">
      <x:formula>NOT(ISERROR(SEARCH("부기명 입력",K26)))</x:formula>
    </x:cfRule>
  </x:conditionalFormatting>
  <x:conditionalFormatting sqref="K26:K41">
    <x:cfRule type="containsText" dxfId="1132" priority="29" operator="containsText" text="금액입력">
      <x:formula>NOT(ISERROR(SEARCH("금액입력",K26)))</x:formula>
    </x:cfRule>
  </x:conditionalFormatting>
  <x:conditionalFormatting sqref="L26:L41">
    <x:cfRule type="containsText" dxfId="1131" priority="28" operator="containsText" text="금액입력">
      <x:formula>NOT(ISERROR(SEARCH("금액입력",L26)))</x:formula>
    </x:cfRule>
  </x:conditionalFormatting>
  <x:conditionalFormatting sqref="K43:K58">
    <x:cfRule type="containsText" dxfId="1130" priority="27" operator="containsText" text="부기명 입력">
      <x:formula>NOT(ISERROR(SEARCH("부기명 입력",K43)))</x:formula>
    </x:cfRule>
  </x:conditionalFormatting>
  <x:conditionalFormatting sqref="K43:K58">
    <x:cfRule type="containsText" dxfId="1129" priority="26" operator="containsText" text="금액입력">
      <x:formula>NOT(ISERROR(SEARCH("금액입력",K43)))</x:formula>
    </x:cfRule>
  </x:conditionalFormatting>
  <x:conditionalFormatting sqref="L43:L58">
    <x:cfRule type="containsText" dxfId="1128" priority="25" operator="containsText" text="금액입력">
      <x:formula>NOT(ISERROR(SEARCH("금액입력",L43)))</x:formula>
    </x:cfRule>
  </x:conditionalFormatting>
  <x:conditionalFormatting sqref="K60:K75">
    <x:cfRule type="containsText" dxfId="1127" priority="24" operator="containsText" text="부기명 입력">
      <x:formula>NOT(ISERROR(SEARCH("부기명 입력",K60)))</x:formula>
    </x:cfRule>
  </x:conditionalFormatting>
  <x:conditionalFormatting sqref="K60:K75">
    <x:cfRule type="containsText" dxfId="1126" priority="23" operator="containsText" text="금액입력">
      <x:formula>NOT(ISERROR(SEARCH("금액입력",K60)))</x:formula>
    </x:cfRule>
  </x:conditionalFormatting>
  <x:conditionalFormatting sqref="L60:L75">
    <x:cfRule type="containsText" dxfId="1125" priority="22" operator="containsText" text="금액입력">
      <x:formula>NOT(ISERROR(SEARCH("금액입력",L60)))</x:formula>
    </x:cfRule>
  </x:conditionalFormatting>
  <x:conditionalFormatting sqref="K77:K92">
    <x:cfRule type="containsText" dxfId="1124" priority="21" operator="containsText" text="부기명 입력">
      <x:formula>NOT(ISERROR(SEARCH("부기명 입력",K77)))</x:formula>
    </x:cfRule>
  </x:conditionalFormatting>
  <x:conditionalFormatting sqref="K77:K92">
    <x:cfRule type="containsText" dxfId="1123" priority="20" operator="containsText" text="금액입력">
      <x:formula>NOT(ISERROR(SEARCH("금액입력",K77)))</x:formula>
    </x:cfRule>
  </x:conditionalFormatting>
  <x:conditionalFormatting sqref="L77:L92">
    <x:cfRule type="containsText" dxfId="1122" priority="19" operator="containsText" text="금액입력">
      <x:formula>NOT(ISERROR(SEARCH("금액입력",L77)))</x:formula>
    </x:cfRule>
  </x:conditionalFormatting>
  <x:conditionalFormatting sqref="K94:K109">
    <x:cfRule type="containsText" dxfId="1121" priority="18" operator="containsText" text="부기명 입력">
      <x:formula>NOT(ISERROR(SEARCH("부기명 입력",K94)))</x:formula>
    </x:cfRule>
  </x:conditionalFormatting>
  <x:conditionalFormatting sqref="K94:K109">
    <x:cfRule type="containsText" dxfId="1120" priority="17" operator="containsText" text="금액입력">
      <x:formula>NOT(ISERROR(SEARCH("금액입력",K94)))</x:formula>
    </x:cfRule>
  </x:conditionalFormatting>
  <x:conditionalFormatting sqref="L94:L109">
    <x:cfRule type="containsText" dxfId="1119" priority="16" operator="containsText" text="금액입력">
      <x:formula>NOT(ISERROR(SEARCH("금액입력",L94)))</x:formula>
    </x:cfRule>
  </x:conditionalFormatting>
  <x:conditionalFormatting sqref="K111:K126">
    <x:cfRule type="containsText" dxfId="1118" priority="15" operator="containsText" text="부기명 입력">
      <x:formula>NOT(ISERROR(SEARCH("부기명 입력",K111)))</x:formula>
    </x:cfRule>
  </x:conditionalFormatting>
  <x:conditionalFormatting sqref="K111:K126">
    <x:cfRule type="containsText" dxfId="1117" priority="14" operator="containsText" text="금액입력">
      <x:formula>NOT(ISERROR(SEARCH("금액입력",K111)))</x:formula>
    </x:cfRule>
  </x:conditionalFormatting>
  <x:conditionalFormatting sqref="L111:L126">
    <x:cfRule type="containsText" dxfId="1116" priority="13" operator="containsText" text="금액입력">
      <x:formula>NOT(ISERROR(SEARCH("금액입력",L111)))</x:formula>
    </x:cfRule>
  </x:conditionalFormatting>
  <x:conditionalFormatting sqref="K128:K143">
    <x:cfRule type="containsText" dxfId="1115" priority="12" operator="containsText" text="부기명 입력">
      <x:formula>NOT(ISERROR(SEARCH("부기명 입력",K128)))</x:formula>
    </x:cfRule>
  </x:conditionalFormatting>
  <x:conditionalFormatting sqref="K128:K143">
    <x:cfRule type="containsText" dxfId="1114" priority="11" operator="containsText" text="금액입력">
      <x:formula>NOT(ISERROR(SEARCH("금액입력",K128)))</x:formula>
    </x:cfRule>
  </x:conditionalFormatting>
  <x:conditionalFormatting sqref="L128:L143">
    <x:cfRule type="containsText" dxfId="1113" priority="10" operator="containsText" text="금액입력">
      <x:formula>NOT(ISERROR(SEARCH("금액입력",L128)))</x:formula>
    </x:cfRule>
  </x:conditionalFormatting>
  <x:conditionalFormatting sqref="K145:K160">
    <x:cfRule type="containsText" dxfId="1112" priority="9" operator="containsText" text="부기명 입력">
      <x:formula>NOT(ISERROR(SEARCH("부기명 입력",K145)))</x:formula>
    </x:cfRule>
  </x:conditionalFormatting>
  <x:conditionalFormatting sqref="K145:K160">
    <x:cfRule type="containsText" dxfId="1111" priority="8" operator="containsText" text="금액입력">
      <x:formula>NOT(ISERROR(SEARCH("금액입력",K145)))</x:formula>
    </x:cfRule>
  </x:conditionalFormatting>
  <x:conditionalFormatting sqref="L145:L160">
    <x:cfRule type="containsText" dxfId="1110" priority="7" operator="containsText" text="금액입력">
      <x:formula>NOT(ISERROR(SEARCH("금액입력",L145)))</x:formula>
    </x:cfRule>
  </x:conditionalFormatting>
  <x:conditionalFormatting sqref="K162:K177">
    <x:cfRule type="containsText" dxfId="1109" priority="6" operator="containsText" text="부기명 입력">
      <x:formula>NOT(ISERROR(SEARCH("부기명 입력",K162)))</x:formula>
    </x:cfRule>
  </x:conditionalFormatting>
  <x:conditionalFormatting sqref="K162:K177">
    <x:cfRule type="containsText" dxfId="1108" priority="5" operator="containsText" text="금액입력">
      <x:formula>NOT(ISERROR(SEARCH("금액입력",K162)))</x:formula>
    </x:cfRule>
  </x:conditionalFormatting>
  <x:conditionalFormatting sqref="L162:L177">
    <x:cfRule type="containsText" dxfId="1107" priority="4" operator="containsText" text="금액입력">
      <x:formula>NOT(ISERROR(SEARCH("금액입력",L162)))</x:formula>
    </x:cfRule>
  </x:conditionalFormatting>
  <x:conditionalFormatting sqref="K179:K194">
    <x:cfRule type="containsText" dxfId="1106" priority="3" operator="containsText" text="부기명 입력">
      <x:formula>NOT(ISERROR(SEARCH("부기명 입력",K179)))</x:formula>
    </x:cfRule>
  </x:conditionalFormatting>
  <x:conditionalFormatting sqref="K179:K194">
    <x:cfRule type="containsText" dxfId="1105" priority="2" operator="containsText" text="금액입력">
      <x:formula>NOT(ISERROR(SEARCH("금액입력",K179)))</x:formula>
    </x:cfRule>
  </x:conditionalFormatting>
  <x:conditionalFormatting sqref="L179:L194">
    <x:cfRule type="containsText" dxfId="1104" priority="1" operator="containsText" text="금액입력">
      <x:formula>NOT(ISERROR(SEARCH("금액입력",L179)))</x:formula>
    </x:cfRule>
  </x:conditionalFormatting>
  <x:dataValidations count="28">
    <x:dataValidation type="list" allowBlank="1" showInputMessage="1" showErrorMessage="1" sqref="E7:E7">
      <x:formula1>"본예산, 신규"</x:formula1>
    </x:dataValidation>
    <x:dataValidation type="list" allowBlank="1" showInputMessage="1" showErrorMessage="1" sqref="AL94:AL109 AL26:AL41 AL162:AL177 AL60:AL75 AL128:AL143 AL9:AL24 AL145:AL160 AL111:AL126 AL77:AL92 AL43:AL58 AL179:AL194">
      <x:formula1>"도비,국비,균특,기금,특교,소교"</x:formula1>
    </x:dataValidation>
    <x:dataValidation type="list" allowBlank="1" showInputMessage="1" showErrorMessage="1" sqref="U9:U24 U77:U92 U145:U160 U60:U75 U128:U143 U162:U177 U26:U41 U111:U126 U43:U58 U94:U109 U179:U194">
      <x:formula1>"동의, 부동의, 미실시"</x:formula1>
    </x:dataValidation>
    <x:dataValidation type="list" allowBlank="1" showInputMessage="1" showErrorMessage="1" sqref="AO9:AO24 AO162:AO177 AO26:AO41 AO60:AO75 AO145:AO160 AO111:AO126 AO77:AO92 AO94:AO109 AO43:AO58 AO128:AO143 AO179:AO194">
      <x:formula1>"지방채,지역개발기금,자체,국비"</x:formula1>
    </x:dataValidation>
    <x:dataValidation type="list" allowBlank="1" showInputMessage="1" showErrorMessage="1" sqref="E77:E92 E9:E24 E145:E160 E26:E41 E43:E58 E60:E75 E162:E177 E94:E109 E111:E126 E128:E143 E179:E194">
      <x:formula1>"본예산, 1추, 2추, 신규"</x:formula1>
    </x:dataValidation>
    <x:dataValidation type="custom" allowBlank="1" showInputMessage="1" showErrorMessage="1" sqref="B9:B24 B26:B41 B43:B58 B60:B75 B77:B92 B94:B109 B111:B126 B128:B143 B145:B160 B162:B177 B179:B194">
      <x:formula1>"의회운영위원회"</x:formula1>
    </x:dataValidation>
    <x:dataValidation type="list" allowBlank="1" showInputMessage="1" showErrorMessage="1" sqref="C9:C24 C163:C177">
      <x:formula1>구분표!$AD$3:$AD$6</x:formula1>
    </x:dataValidation>
    <x:dataValidation type="list" allowBlank="1" showInputMessage="1" showErrorMessage="1" sqref="D9:D24">
      <x:formula1>구분표!$R$3:$R$17</x:formula1>
    </x:dataValidation>
    <x:dataValidation type="list" allowBlank="1" showInputMessage="1" showErrorMessage="1" sqref="D26:D41">
      <x:formula1>구분표!$S$3:$S$23</x:formula1>
    </x:dataValidation>
    <x:dataValidation type="list" allowBlank="1" showInputMessage="1" showErrorMessage="1" sqref="D43:D58">
      <x:formula1>구분표!$T$3:$T$19</x:formula1>
    </x:dataValidation>
    <x:dataValidation type="list" allowBlank="1" showInputMessage="1" showErrorMessage="1" sqref="D60:D75">
      <x:formula1>구분표!$U$3:$U$81</x:formula1>
    </x:dataValidation>
    <x:dataValidation type="list" allowBlank="1" showInputMessage="1" showErrorMessage="1" sqref="D77:D92">
      <x:formula1>구분표!$V$3:$V$11</x:formula1>
    </x:dataValidation>
    <x:dataValidation type="list" allowBlank="1" showInputMessage="1" showErrorMessage="1" sqref="D94:D109">
      <x:formula1>구분표!$W$3:$W$28</x:formula1>
    </x:dataValidation>
    <x:dataValidation type="list" allowBlank="1" showInputMessage="1" showErrorMessage="1" sqref="D111:D126">
      <x:formula1>구분표!$X$3:$X$19</x:formula1>
    </x:dataValidation>
    <x:dataValidation type="list" allowBlank="1" showInputMessage="1" showErrorMessage="1" sqref="D162:D177">
      <x:formula1>구분표!$AA$3:$AA$14</x:formula1>
    </x:dataValidation>
    <x:dataValidation type="list" allowBlank="1" showInputMessage="1" showErrorMessage="1" sqref="D179:D194">
      <x:formula1>구분표!$AB$3:$AB$14</x:formula1>
    </x:dataValidation>
    <x:dataValidation type="list" allowBlank="1" showInputMessage="1" showErrorMessage="1" sqref="D128:D143">
      <x:formula1>구분표!$Y$3:$Y$21</x:formula1>
    </x:dataValidation>
    <x:dataValidation type="list" allowBlank="1" showInputMessage="1" showErrorMessage="1" sqref="D145:D160">
      <x:formula1>구분표!$Z$3:$Z$30</x:formula1>
    </x:dataValidation>
    <x:dataValidation type="list" allowBlank="1" showInputMessage="1" showErrorMessage="1" sqref="C43:C58">
      <x:formula1>구분표!$AF$3:$AF$6</x:formula1>
    </x:dataValidation>
    <x:dataValidation type="list" allowBlank="1" showInputMessage="1" showErrorMessage="1" sqref="C77:C92">
      <x:formula1>구분표!$AH$3</x:formula1>
    </x:dataValidation>
    <x:dataValidation type="list" allowBlank="1" showInputMessage="1" showErrorMessage="1" sqref="C94:C109">
      <x:formula1>구분표!$AI$3:$AI$6</x:formula1>
    </x:dataValidation>
    <x:dataValidation type="list" allowBlank="1" showInputMessage="1" showErrorMessage="1" sqref="C111:C126">
      <x:formula1>구분표!$AJ$3:$AJ$5</x:formula1>
    </x:dataValidation>
    <x:dataValidation type="list" allowBlank="1" showInputMessage="1" showErrorMessage="1" sqref="C162:C162">
      <x:formula1>구분표!$AM$3:$AM$5</x:formula1>
    </x:dataValidation>
    <x:dataValidation type="list" allowBlank="1" showInputMessage="1" showErrorMessage="1" sqref="C26:C41">
      <x:formula1>구분표!$AE$3:$AE$7</x:formula1>
    </x:dataValidation>
    <x:dataValidation type="list" allowBlank="1" showInputMessage="1" showErrorMessage="1" sqref="C60:C75">
      <x:formula1>구분표!$AG$3:$AG$10</x:formula1>
    </x:dataValidation>
    <x:dataValidation type="list" allowBlank="1" showInputMessage="1" showErrorMessage="1" sqref="C128:C143">
      <x:formula1>구분표!$AK$3:$AK$7</x:formula1>
    </x:dataValidation>
    <x:dataValidation type="list" allowBlank="1" showInputMessage="1" showErrorMessage="1" sqref="C145:C160">
      <x:formula1>구분표!$AL$3:$AL$7</x:formula1>
    </x:dataValidation>
    <x:dataValidation type="list" allowBlank="1" showInputMessage="1" showErrorMessage="1" sqref="C179:C194">
      <x:formula1>구분표!$AN$3:$AN$6</x:formula1>
    </x:dataValidation>
  </x:dataValidation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19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  <x:legacy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>
    <x:tabColor rgb="ff0000ff"/>
    <x:pageSetUpPr autoPageBreaks="1" fitToPage="1"/>
  </x:sheetPr>
  <x:dimension ref="A1:AS182"/>
  <x:sheetViews>
    <x:sheetView topLeftCell="O1" zoomScale="40" zoomScaleNormal="40" zoomScaleSheetLayoutView="55" workbookViewId="0">
      <x:pane xSplit="0" ySplit="6" topLeftCell="O133" activePane="bottomLeft" state="frozen"/>
      <x:selection pane="bottomLeft" activeCell="Q144" activeCellId="0" sqref="Q144:Q144"/>
    </x:sheetView>
  </x:sheetViews>
  <x:sheetFormatPr defaultColWidth="9" defaultRowHeight="50.100000000000001" customHeight="1"/>
  <x:cols>
    <x:col min="1" max="1" width="7.625" style="23" bestFit="1" customWidth="1"/>
    <x:col min="2" max="2" width="34.5" style="49" bestFit="1" customWidth="1"/>
    <x:col min="3" max="3" width="20.25" style="49" bestFit="1" customWidth="1"/>
    <x:col min="4" max="4" width="22" style="49" bestFit="1" customWidth="1"/>
    <x:col min="5" max="5" width="9" style="49" customWidth="1"/>
    <x:col min="6" max="7" width="15.625" style="21" customWidth="1"/>
    <x:col min="8" max="8" width="12.625" style="21" bestFit="1" customWidth="1"/>
    <x:col min="9" max="10" width="16.25" style="21" customWidth="1"/>
    <x:col min="11" max="12" width="45.625" style="451" customWidth="1"/>
    <x:col min="13" max="14" width="25.625" style="451" customWidth="1"/>
    <x:col min="15" max="15" width="21.5" style="454" customWidth="1"/>
    <x:col min="16" max="18" width="25.625" style="454" customWidth="1"/>
    <x:col min="19" max="19" width="25.625" style="478" customWidth="1"/>
    <x:col min="20" max="20" width="12.625" style="21" bestFit="1" customWidth="1"/>
    <x:col min="21" max="21" width="19.625" style="32" bestFit="1" customWidth="1"/>
    <x:col min="22" max="22" width="30.625" style="33" customWidth="1"/>
    <x:col min="23" max="23" width="16" style="34" customWidth="1"/>
    <x:col min="24" max="24" width="30.625" style="34" customWidth="1"/>
    <x:col min="25" max="25" width="16.5" style="34" customWidth="1"/>
    <x:col min="26" max="26" width="33.25" style="22" customWidth="1"/>
    <x:col min="27" max="27" width="16.5" style="22" customWidth="1"/>
    <x:col min="28" max="28" width="7.5" style="21" customWidth="1"/>
    <x:col min="29" max="30" width="20.625" style="454" customWidth="1"/>
    <x:col min="31" max="31" width="24.125" style="454" customWidth="1"/>
    <x:col min="32" max="32" width="25.625" style="21" customWidth="1"/>
    <x:col min="33" max="33" width="2.125" style="21" customWidth="1"/>
    <x:col min="34" max="36" width="20.625" style="454" customWidth="1"/>
    <x:col min="37" max="37" width="25.625" style="21" customWidth="1"/>
    <x:col min="38" max="38" width="2.5" style="21" customWidth="1"/>
    <x:col min="39" max="39" width="26.25" style="36" customWidth="1"/>
    <x:col min="40" max="40" width="17.875" style="21" customWidth="1"/>
    <x:col min="41" max="41" width="16.5" style="36" customWidth="1"/>
    <x:col min="42" max="42" width="14.875" style="21" customWidth="1"/>
    <x:col min="43" max="43" width="2.625" style="21" customWidth="1"/>
    <x:col min="44" max="44" width="16.5" style="21" customWidth="1"/>
    <x:col min="45" max="45" width="1.5" style="21" customWidth="1"/>
    <x:col min="46" max="16384" width="9" style="21"/>
  </x:cols>
  <x:sheetData>
    <x:row r="1" spans="1:45" s="332" customFormat="1" ht="96.75" customHeight="1">
      <x:c r="A1" s="914" t="s">
        <x:v>1927</x:v>
      </x:c>
      <x:c r="B1" s="914"/>
      <x:c r="C1" s="914"/>
      <x:c r="D1" s="914"/>
      <x:c r="E1" s="914"/>
      <x:c r="F1" s="914"/>
      <x:c r="G1" s="914"/>
      <x:c r="H1" s="914"/>
      <x:c r="I1" s="914"/>
      <x:c r="J1" s="914"/>
      <x:c r="K1" s="914"/>
      <x:c r="L1" s="914"/>
      <x:c r="M1" s="914"/>
      <x:c r="N1" s="914"/>
      <x:c r="O1" s="914"/>
      <x:c r="P1" s="914"/>
      <x:c r="Q1" s="914"/>
      <x:c r="R1" s="914"/>
      <x:c r="S1" s="914"/>
      <x:c r="T1" s="914"/>
      <x:c r="U1" s="914"/>
      <x:c r="V1" s="914"/>
      <x:c r="W1" s="914"/>
      <x:c r="X1" s="914"/>
      <x:c r="Y1" s="914"/>
      <x:c r="Z1" s="914"/>
      <x:c r="AA1" s="914"/>
      <x:c r="AC1" s="988" t="s">
        <x:v>1710</x:v>
      </x:c>
      <x:c r="AD1" s="989"/>
      <x:c r="AE1" s="989"/>
      <x:c r="AF1" s="990"/>
      <x:c r="AH1" s="991" t="s">
        <x:v>1710</x:v>
      </x:c>
      <x:c r="AI1" s="992"/>
      <x:c r="AJ1" s="992"/>
      <x:c r="AK1" s="993"/>
      <x:c r="AM1" s="905" t="s">
        <x:v>4</x:v>
      </x:c>
      <x:c r="AN1" s="906"/>
      <x:c r="AO1" s="906"/>
      <x:c r="AP1" s="907"/>
      <x:c r="AQ1" s="21"/>
      <x:c r="AR1" s="21"/>
      <x:c r="AS1" s="21"/>
    </x:row>
    <x:row r="2" spans="1:45" s="190" customFormat="1" ht="39.75" customHeight="1">
      <x:c r="A2" s="189"/>
      <x:c r="B2" s="978"/>
      <x:c r="C2" s="978"/>
      <x:c r="D2" s="978"/>
      <x:c r="E2" s="978"/>
      <x:c r="F2" s="978"/>
      <x:c r="G2" s="978"/>
      <x:c r="H2" s="978"/>
      <x:c r="I2" s="978"/>
      <x:c r="J2" s="978"/>
      <x:c r="K2" s="978"/>
      <x:c r="L2" s="978"/>
      <x:c r="M2" s="549"/>
      <x:c r="N2" s="549"/>
      <x:c r="O2" s="455"/>
      <x:c r="P2" s="473">
        <x:f>SUM(P7:P166)/2</x:f>
        <x:v>5856907</x:v>
      </x:c>
      <x:c r="Q2" s="473">
        <x:f>SUM(Q7:Q166)/2</x:f>
        <x:v>24651843</x:v>
      </x:c>
      <x:c r="R2" s="474">
        <x:f>SUM(R7:R166)/2</x:f>
        <x:v>0</x:v>
      </x:c>
      <x:c r="S2" s="473">
        <x:f>SUM(S7:S166)/2</x:f>
        <x:v>18794936</x:v>
      </x:c>
      <x:c r="T2" s="191"/>
      <x:c r="U2" s="31" t="s">
        <x:v>1513</x:v>
      </x:c>
      <x:c r="V2" s="31"/>
      <x:c r="W2" s="35"/>
      <x:c r="X2" s="35"/>
      <x:c r="Y2" s="980" t="s">
        <x:v>1553</x:v>
      </x:c>
      <x:c r="Z2" s="980"/>
      <x:c r="AA2" s="980"/>
      <x:c r="AC2" s="479"/>
      <x:c r="AD2" s="479"/>
      <x:c r="AE2" s="479"/>
      <x:c r="AF2" s="347" t="s">
        <x:v>1513</x:v>
      </x:c>
      <x:c r="AH2" s="479"/>
      <x:c r="AI2" s="479"/>
      <x:c r="AJ2" s="479"/>
      <x:c r="AK2" s="347" t="s">
        <x:v>1513</x:v>
      </x:c>
      <x:c r="AM2" s="23"/>
      <x:c r="AN2" s="24"/>
      <x:c r="AO2" s="23"/>
      <x:c r="AP2" s="24"/>
      <x:c r="AQ2" s="21"/>
      <x:c r="AR2" s="21"/>
      <x:c r="AS2" s="21"/>
    </x:row>
    <x:row r="3" spans="1:45" s="329" customFormat="1" ht="39.950000000000003" customHeight="1">
      <x:c r="A3" s="893" t="s">
        <x:v>116</x:v>
      </x:c>
      <x:c r="B3" s="904" t="s">
        <x:v>1933</x:v>
      </x:c>
      <x:c r="C3" s="904" t="s">
        <x:v>74</x:v>
      </x:c>
      <x:c r="D3" s="904" t="s">
        <x:v>94</x:v>
      </x:c>
      <x:c r="E3" s="972" t="s">
        <x:v>1320</x:v>
      </x:c>
      <x:c r="F3" s="972" t="s">
        <x:v>1646</x:v>
      </x:c>
      <x:c r="G3" s="972" t="s">
        <x:v>1620</x:v>
      </x:c>
      <x:c r="H3" s="975" t="s">
        <x:v>725</x:v>
      </x:c>
      <x:c r="I3" s="975" t="s">
        <x:v>115</x:v>
      </x:c>
      <x:c r="J3" s="975" t="s">
        <x:v>104</x:v>
      </x:c>
      <x:c r="K3" s="893" t="s">
        <x:v>854</x:v>
      </x:c>
      <x:c r="L3" s="893" t="s">
        <x:v>127</x:v>
      </x:c>
      <x:c r="M3" s="889" t="s">
        <x:v>1412</x:v>
      </x:c>
      <x:c r="N3" s="889" t="s">
        <x:v>1678</x:v>
      </x:c>
      <x:c r="O3" s="889" t="s">
        <x:v>443</x:v>
      </x:c>
      <x:c r="P3" s="902" t="s">
        <x:v>1661</x:v>
      </x:c>
      <x:c r="Q3" s="891" t="s">
        <x:v>1357</x:v>
      </x:c>
      <x:c r="R3" s="902" t="s">
        <x:v>1636</x:v>
      </x:c>
      <x:c r="S3" s="891" t="s">
        <x:v>1359</x:v>
      </x:c>
      <x:c r="T3" s="899" t="s">
        <x:v>1546</x:v>
      </x:c>
      <x:c r="U3" s="891" t="s">
        <x:v>1550</x:v>
      </x:c>
      <x:c r="V3" s="891" t="s">
        <x:v>1549</x:v>
      </x:c>
      <x:c r="W3" s="891" t="s">
        <x:v>1619</x:v>
      </x:c>
      <x:c r="X3" s="899" t="s">
        <x:v>1548</x:v>
      </x:c>
      <x:c r="Y3" s="899" t="s">
        <x:v>551</x:v>
      </x:c>
      <x:c r="Z3" s="899" t="s">
        <x:v>1630</x:v>
      </x:c>
      <x:c r="AA3" s="902" t="s">
        <x:v>1547</x:v>
      </x:c>
      <x:c r="AC3" s="962" t="s">
        <x:v>983</x:v>
      </x:c>
      <x:c r="AD3" s="963"/>
      <x:c r="AE3" s="963"/>
      <x:c r="AF3" s="964"/>
      <x:c r="AH3" s="965" t="s">
        <x:v>1020</x:v>
      </x:c>
      <x:c r="AI3" s="966"/>
      <x:c r="AJ3" s="966"/>
      <x:c r="AK3" s="967"/>
      <x:c r="AM3" s="996" t="s">
        <x:v>1465</x:v>
      </x:c>
      <x:c r="AN3" s="997"/>
      <x:c r="AO3" s="997"/>
      <x:c r="AP3" s="998"/>
      <x:c r="AR3" s="955" t="s">
        <x:v>1017</x:v>
      </x:c>
      <x:c r="AS3" s="21"/>
    </x:row>
    <x:row r="4" spans="1:45" s="329" customFormat="1" ht="39.950000000000003" customHeight="1">
      <x:c r="A4" s="893"/>
      <x:c r="B4" s="904"/>
      <x:c r="C4" s="904"/>
      <x:c r="D4" s="904"/>
      <x:c r="E4" s="973"/>
      <x:c r="F4" s="973"/>
      <x:c r="G4" s="973"/>
      <x:c r="H4" s="976"/>
      <x:c r="I4" s="976"/>
      <x:c r="J4" s="976"/>
      <x:c r="K4" s="893"/>
      <x:c r="L4" s="893"/>
      <x:c r="M4" s="889"/>
      <x:c r="N4" s="889"/>
      <x:c r="O4" s="889"/>
      <x:c r="P4" s="950"/>
      <x:c r="Q4" s="891"/>
      <x:c r="R4" s="950"/>
      <x:c r="S4" s="891"/>
      <x:c r="T4" s="899"/>
      <x:c r="U4" s="891"/>
      <x:c r="V4" s="891"/>
      <x:c r="W4" s="891"/>
      <x:c r="X4" s="899"/>
      <x:c r="Y4" s="899"/>
      <x:c r="Z4" s="899"/>
      <x:c r="AA4" s="950"/>
      <x:c r="AC4" s="994" t="s">
        <x:v>91</x:v>
      </x:c>
      <x:c r="AD4" s="994"/>
      <x:c r="AE4" s="994"/>
      <x:c r="AF4" s="895" t="s">
        <x:v>1443</x:v>
      </x:c>
      <x:c r="AH4" s="994" t="s">
        <x:v>91</x:v>
      </x:c>
      <x:c r="AI4" s="994"/>
      <x:c r="AJ4" s="994"/>
      <x:c r="AK4" s="895" t="s">
        <x:v>1442</x:v>
      </x:c>
      <x:c r="AM4" s="955" t="s">
        <x:v>1322</x:v>
      </x:c>
      <x:c r="AN4" s="955" t="s">
        <x:v>0</x:v>
      </x:c>
      <x:c r="AO4" s="955" t="s">
        <x:v>1016</x:v>
      </x:c>
      <x:c r="AP4" s="955" t="s">
        <x:v>1039</x:v>
      </x:c>
      <x:c r="AR4" s="995"/>
      <x:c r="AS4" s="21"/>
    </x:row>
    <x:row r="5" spans="1:45" s="329" customFormat="1" ht="39.950000000000003" customHeight="1">
      <x:c r="A5" s="893"/>
      <x:c r="B5" s="904"/>
      <x:c r="C5" s="904"/>
      <x:c r="D5" s="904"/>
      <x:c r="E5" s="974"/>
      <x:c r="F5" s="974"/>
      <x:c r="G5" s="974"/>
      <x:c r="H5" s="977"/>
      <x:c r="I5" s="977"/>
      <x:c r="J5" s="977"/>
      <x:c r="K5" s="893"/>
      <x:c r="L5" s="893"/>
      <x:c r="M5" s="890"/>
      <x:c r="N5" s="890"/>
      <x:c r="O5" s="890"/>
      <x:c r="P5" s="903"/>
      <x:c r="Q5" s="892"/>
      <x:c r="R5" s="903"/>
      <x:c r="S5" s="892"/>
      <x:c r="T5" s="899"/>
      <x:c r="U5" s="891"/>
      <x:c r="V5" s="891"/>
      <x:c r="W5" s="891"/>
      <x:c r="X5" s="899"/>
      <x:c r="Y5" s="899"/>
      <x:c r="Z5" s="899"/>
      <x:c r="AA5" s="903"/>
      <x:c r="AC5" s="480" t="s">
        <x:v>172</x:v>
      </x:c>
      <x:c r="AD5" s="480" t="s">
        <x:v>153</x:v>
      </x:c>
      <x:c r="AE5" s="480" t="s">
        <x:v>879</x:v>
      </x:c>
      <x:c r="AF5" s="896"/>
      <x:c r="AH5" s="480" t="s">
        <x:v>172</x:v>
      </x:c>
      <x:c r="AI5" s="480" t="s">
        <x:v>153</x:v>
      </x:c>
      <x:c r="AJ5" s="480" t="s">
        <x:v>879</x:v>
      </x:c>
      <x:c r="AK5" s="896"/>
      <x:c r="AM5" s="956"/>
      <x:c r="AN5" s="956"/>
      <x:c r="AO5" s="956"/>
      <x:c r="AP5" s="956"/>
      <x:c r="AR5" s="956"/>
      <x:c r="AS5" s="21"/>
    </x:row>
    <x:row r="6" spans="1:45" s="414" customFormat="1" ht="80.099999999999994" customHeight="1">
      <x:c r="A6" s="183"/>
      <x:c r="B6" s="183" t="s">
        <x:v>1323</x:v>
      </x:c>
      <x:c r="C6" s="410" t="s">
        <x:v>100</x:v>
      </x:c>
      <x:c r="D6" s="410"/>
      <x:c r="E6" s="183"/>
      <x:c r="F6" s="183"/>
      <x:c r="G6" s="183"/>
      <x:c r="H6" s="183"/>
      <x:c r="I6" s="183"/>
      <x:c r="J6" s="183"/>
      <x:c r="K6" s="407" t="s">
        <x:v>100</x:v>
      </x:c>
      <x:c r="L6" s="408" t="str">
        <x:f>SUBTOTAL(3,L$7:L$2000)&amp;"건"</x:f>
        <x:v>12건</x:v>
      </x:c>
      <x:c r="M6" s="475">
        <x:f t="shared" ref="M6:S6" si="0">SUBTOTAL(9,M$7:M$2000)</x:f>
        <x:v>28885179</x:v>
      </x:c>
      <x:c r="N6" s="475">
        <x:f t="shared" si="0"/>
        <x:v>-10090243</x:v>
      </x:c>
      <x:c r="O6" s="475">
        <x:f t="shared" si="0"/>
        <x:v>18794936</x:v>
      </x:c>
      <x:c r="P6" s="475">
        <x:f t="shared" si="0"/>
        <x:v>5856907</x:v>
      </x:c>
      <x:c r="Q6" s="475">
        <x:f t="shared" si="0"/>
        <x:v>24651843</x:v>
      </x:c>
      <x:c r="R6" s="475">
        <x:f t="shared" si="0"/>
        <x:v>0</x:v>
      </x:c>
      <x:c r="S6" s="475">
        <x:f t="shared" si="0"/>
        <x:v>18794936</x:v>
      </x:c>
      <x:c r="T6" s="183"/>
      <x:c r="U6" s="411"/>
      <x:c r="V6" s="412"/>
      <x:c r="W6" s="183"/>
      <x:c r="X6" s="183"/>
      <x:c r="Y6" s="183"/>
      <x:c r="Z6" s="412"/>
      <x:c r="AA6" s="413"/>
      <x:c r="AC6" s="475">
        <x:f>SUBTOTAL(9,AC$7:AC$2000)</x:f>
        <x:v>6321027</x:v>
      </x:c>
      <x:c r="AD6" s="475">
        <x:f>SUBTOTAL(9,AD$7:AD$2000)</x:f>
        <x:v>-464120</x:v>
      </x:c>
      <x:c r="AE6" s="475">
        <x:f>SUBTOTAL(9,AE$7:AE$2000)</x:f>
        <x:v>0</x:v>
      </x:c>
      <x:c r="AF6" s="403" t="str">
        <x:f>IF(COUNTIF(AF$8:AF$2000,"@@")&gt;0,"@@","OK")</x:f>
        <x:v>OK</x:v>
      </x:c>
      <x:c r="AH6" s="475">
        <x:f>SUBTOTAL(9,AH$7:AH$2000)</x:f>
        <x:v>0</x:v>
      </x:c>
      <x:c r="AI6" s="475">
        <x:f>SUBTOTAL(9,AI$7:AI$2000)</x:f>
        <x:v>0</x:v>
      </x:c>
      <x:c r="AJ6" s="475">
        <x:f>SUBTOTAL(9,AJ$7:AJ$2000)</x:f>
        <x:v>0</x:v>
      </x:c>
      <x:c r="AK6" s="403" t="str">
        <x:f>IF(COUNTIF(AK$8:AK$2000,"@@")&gt;0,"@@","OK")</x:f>
        <x:v>OK</x:v>
      </x:c>
      <x:c r="AM6" s="415"/>
      <x:c r="AN6" s="403" t="str">
        <x:f>IF(COUNTIF(AN$8:AN$2000,"@@")&gt;0,"@@","OK")</x:f>
        <x:v>OK</x:v>
      </x:c>
      <x:c r="AO6" s="415"/>
      <x:c r="AP6" s="403" t="str">
        <x:f>IF(COUNTIF(AP$8:AP$2000,"@@")&gt;0,"@@","OK")</x:f>
        <x:v>OK</x:v>
      </x:c>
      <x:c r="AQ6" s="396"/>
      <x:c r="AR6" s="398"/>
      <x:c r="AS6" s="396"/>
    </x:row>
    <x:row r="7" spans="1:45" s="165" customFormat="1" ht="60" customHeight="1">
      <x:c r="A7" s="416"/>
      <x:c r="B7" s="981" t="s">
        <x:v>1525</x:v>
      </x:c>
      <x:c r="C7" s="981"/>
      <x:c r="D7" s="981"/>
      <x:c r="E7" s="981"/>
      <x:c r="F7" s="981"/>
      <x:c r="G7" s="981"/>
      <x:c r="H7" s="417"/>
      <x:c r="I7" s="417"/>
      <x:c r="J7" s="417"/>
      <x:c r="K7" s="418"/>
      <x:c r="L7" s="419" t="str">
        <x:f>SUBTOTAL(3,L8:L22)&amp;"건"</x:f>
        <x:v>0건</x:v>
      </x:c>
      <x:c r="M7" s="476">
        <x:f t="shared" ref="M7:N7" si="1">SUBTOTAL(9,M8:M22)</x:f>
        <x:v>0</x:v>
      </x:c>
      <x:c r="N7" s="476">
        <x:f t="shared" si="1"/>
        <x:v>0</x:v>
      </x:c>
      <x:c r="O7" s="476">
        <x:f t="shared" ref="O7:S7" si="2">SUBTOTAL(9,O8:O22)</x:f>
        <x:v>0</x:v>
      </x:c>
      <x:c r="P7" s="476">
        <x:f t="shared" si="2"/>
        <x:v>0</x:v>
      </x:c>
      <x:c r="Q7" s="476">
        <x:f t="shared" si="2"/>
        <x:v>0</x:v>
      </x:c>
      <x:c r="R7" s="476">
        <x:f t="shared" si="2"/>
        <x:v>0</x:v>
      </x:c>
      <x:c r="S7" s="476">
        <x:f t="shared" si="2"/>
        <x:v>0</x:v>
      </x:c>
      <x:c r="T7" s="416"/>
      <x:c r="U7" s="420"/>
      <x:c r="V7" s="420"/>
      <x:c r="W7" s="421"/>
      <x:c r="X7" s="421"/>
      <x:c r="Y7" s="421"/>
      <x:c r="Z7" s="422"/>
      <x:c r="AA7" s="421"/>
      <x:c r="AC7" s="481">
        <x:f>SUBTOTAL(9,AC8:AC22)</x:f>
        <x:v>0</x:v>
      </x:c>
      <x:c r="AD7" s="481">
        <x:f>SUBTOTAL(9,AD8:AD22)</x:f>
        <x:v>0</x:v>
      </x:c>
      <x:c r="AE7" s="481">
        <x:f>SUBTOTAL(9,AE8:AE22)</x:f>
        <x:v>0</x:v>
      </x:c>
      <x:c r="AF7" s="554" t="str">
        <x:f>IF(COUNTIF(AF8:AF22,"@@")&gt;0,"@@","OK")</x:f>
        <x:v>OK</x:v>
      </x:c>
      <x:c r="AH7" s="481">
        <x:f>SUBTOTAL(9,AH8:AH22)</x:f>
        <x:v>0</x:v>
      </x:c>
      <x:c r="AI7" s="481">
        <x:f>SUBTOTAL(9,AI8:AI22)</x:f>
        <x:v>0</x:v>
      </x:c>
      <x:c r="AJ7" s="481">
        <x:f>SUBTOTAL(9,AJ8:AJ22)</x:f>
        <x:v>0</x:v>
      </x:c>
      <x:c r="AK7" s="554" t="str">
        <x:f>IF(COUNTIF(AK8:AK22,"@@")&gt;0,"@@","OK")</x:f>
        <x:v>OK</x:v>
      </x:c>
      <x:c r="AM7" s="422"/>
      <x:c r="AN7" s="554" t="str">
        <x:f>IF(COUNTIF(AN8:AN22,"@@")&gt;0,"@@","OK")</x:f>
        <x:v>OK</x:v>
      </x:c>
      <x:c r="AO7" s="422"/>
      <x:c r="AP7" s="554" t="str">
        <x:f>IF(COUNTIF(AP8:AP22,"@@")&gt;0,"@@","OK")</x:f>
        <x:v>OK</x:v>
      </x:c>
      <x:c r="AQ7" s="164"/>
      <x:c r="AR7" s="422"/>
      <x:c r="AS7" s="166"/>
    </x:row>
    <x:row r="8" spans="1:45" s="20" customFormat="1" ht="60" customHeight="1">
      <x:c r="A8" s="155" t="str">
        <x:f>IF(D8="","",COUNTA($C$7:C8)-COUNTBLANK($C$7:C8)+1)</x:f>
        <x:v/>
      </x:c>
      <x:c r="B8" s="156" t="str">
        <x: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x:f>
        <x:v/>
      </x:c>
      <x:c r="C8" s="156" t="str">
        <x:f>IF(D8="","",IF(OR(D8="교육지원과",D8="총무과",D8="인사과"),"직접입력",VLOOKUP(D8,구분표!$A$3:$C$258,3,)))</x:f>
        <x:v/>
      </x:c>
      <x:c r="D8" s="219"/>
      <x:c r="E8" s="213"/>
      <x:c r="F8" s="388" t="str">
        <x:f>IF($E8="","",IF($E8="2추","직접입력","-"))</x:f>
        <x:v/>
      </x:c>
      <x:c r="G8" s="388" t="str">
        <x:f>IF($E8="","",IF($E8="2추","직접입력","-"))</x:f>
        <x:v/>
      </x:c>
      <x:c r="H8" s="213"/>
      <x:c r="I8" s="156" t="str">
        <x:f>IF(H8="","",VLOOKUP($H8,구분표!$K$3:$M$151,2,FALSE))</x:f>
        <x:v/>
      </x:c>
      <x:c r="J8" s="156" t="str">
        <x:f>IF(I8="","",VLOOKUP($H8,구분표!$K$3:$M$151,3,FALSE))</x:f>
        <x:v/>
      </x:c>
      <x:c r="K8" s="233"/>
      <x:c r="L8" s="233"/>
      <x:c r="M8" s="459" t="str">
        <x:f>IF($E8="","",IF(OR($E8="2추",$E8="1추",$E8="본예산"),"금액입력","-"))</x:f>
        <x:v/>
      </x:c>
      <x:c r="N8" s="459" t="str">
        <x:f>IF($E8="","",IF($E8="2추","금액입력","-"))</x:f>
        <x:v/>
      </x:c>
      <x:c r="O8" s="461" t="str">
        <x:f>IF($E8="","",SUM(M8:N8))</x:f>
        <x:v/>
      </x:c>
      <x:c r="P8" s="460"/>
      <x:c r="Q8" s="461">
        <x:f>SUM(O8:P8)</x:f>
        <x:v>0</x:v>
      </x:c>
      <x:c r="R8" s="462"/>
      <x:c r="S8" s="463">
        <x:f>SUM(O8,R8)</x:f>
        <x:v>0</x:v>
      </x:c>
      <x:c r="T8" s="162" t="str">
        <x:f>IF(AND((Q8=0),(S8&gt;0)),"O",IF(AND((P8&lt;0),(Q8-S8&lt;0)),"O","X"))</x:f>
        <x:v>X</x:v>
      </x:c>
      <x:c r="U8" s="220"/>
      <x:c r="V8" s="331"/>
      <x:c r="W8" s="221"/>
      <x:c r="X8" s="222"/>
      <x:c r="Y8" s="220"/>
      <x:c r="Z8" s="222"/>
      <x:c r="AA8" s="220"/>
      <x:c r="AC8" s="487">
        <x:f>IF($P8="",0,IF(AND(ISNUMBER(AD8),ISNUMBER(AE8)),$P8-$AD8-$AE8,0))</x:f>
        <x:v>0</x:v>
      </x:c>
      <x:c r="AD8" s="487">
        <x:f t="shared" ref="AD8:AD182" si="3">IF($P8="",0,IF(COUNT(FIND("(지방채)",$L8))&gt;0,"재원입력필요",0))</x:f>
        <x:v>0</x:v>
      </x:c>
      <x:c r="AE8" s="487">
        <x:f t="shared" ref="AE8:AE182" si="4">IF($P8="",0,IF(COUNT(FIND("(지역개발기금)",$L8))&gt;0,"재원입력필요",0))</x:f>
        <x:v>0</x:v>
      </x:c>
      <x:c r="AF8" s="374" t="str">
        <x:f>IF($P8="",IF(SUM($AC8:$AE8)=0,"","@@"),IF(AND($P8=SUM($AC8:$AE8),Q8&gt;=0),"OK","@@"))</x:f>
        <x:v/>
      </x:c>
      <x:c r="AG8" s="165"/>
      <x:c r="AH8" s="487">
        <x:f t="shared" ref="AH8:AH182" si="5">IF($R8="",0,IF(AND(ISNUMBER($AI8),ISNUMBER($AJ8)),$R8-$AI8-$AJ8,0))</x:f>
        <x:v>0</x:v>
      </x:c>
      <x:c r="AI8" s="487">
        <x:f t="shared" ref="AI8:AI182" si="6">IF($P8="",0,IF(COUNT(FIND("(지방채)",$L8))&gt;0,"재원입력필요",0))</x:f>
        <x:v>0</x:v>
      </x:c>
      <x:c r="AJ8" s="487">
        <x:f t="shared" ref="AJ8:AJ182" si="7">IF($P8="",0,IF(COUNT(FIND("(지역개발기금)",$L8))&gt;0,"재원입력필요",0))</x:f>
        <x:v>0</x:v>
      </x:c>
      <x:c r="AK8" s="374" t="str">
        <x:f t="shared" ref="AK8:AK182" si="8">IF($R8="",IF(SUM($AH8:$AJ8)=0,"","@@"),IF(AND($R8=SUM($AH8:$AJ8),$S8&gt;=0),"OK","@@"))</x:f>
        <x:v/>
      </x:c>
      <x:c r="AL8" s="8"/>
      <x:c r="AM8" s="533"/>
      <x:c r="AN8" s="374" t="str">
        <x:f>IF($AM8="","",IF($AM8="세입없음","OK",IF(COUNTIF('3. 일입'!$AN$8:$AN$2000,$AM8),"OK","@@")))</x:f>
        <x:v/>
      </x:c>
      <x:c r="AO8" s="356" t="str">
        <x:f t="shared" ref="AO8:AO182" si="9">IF($L8="","",IF(COUNT(FIND("(지역개발기금)",$L8)),"지역개발기금",IF(COUNT(FIND("지방채",$L8)),"지방채","자체")))</x:f>
        <x:v/>
      </x:c>
      <x:c r="AP8" s="374" t="str">
        <x:f t="shared" ref="AP8:AP182" si="10">IF($AM8="",IF($AO8="","",IF($AO8="자체","OK","@@")),IF($AM8="세입없음","OK",IF($AO8="","@@",IF(ISNUMBER(FIND($AO8,$AM8)),"OK","@@"))))</x:f>
        <x:v/>
      </x:c>
      <x:c r="AQ8" s="93"/>
      <x:c r="AR8" s="374" t="str">
        <x:f t="array" ref="AR8:AR8">IF(OR($D8="",$C8="직접입력",$B8="직접입력"),"",INDEX(구분표!$I$3:$I$321,MATCH(1,(구분표!$G$3:$G$321=$B8)*(구분표!$E$3:$E$321=$C8)*(구분표!$F$3:$F$321=$D8),0)))</x:f>
        <x:v/>
      </x:c>
      <x:c r="AS8" s="21"/>
    </x:row>
    <x:row r="9" spans="1:45" s="20" customFormat="1" ht="60" customHeight="1">
      <x:c r="A9" s="155" t="str">
        <x:f>IF(D9="","",COUNTA($C$7:C9)-COUNTBLANK($C$7:C9)+1)</x:f>
        <x:v/>
      </x:c>
      <x:c r="B9" s="156" t="str">
        <x: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x:f>
        <x:v/>
      </x:c>
      <x:c r="C9" s="156" t="str">
        <x:f>IF(D9="","",IF(OR(D9="교육지원과",D9="총무과",D9="인사과"),"직접입력",VLOOKUP(D9,구분표!$A$3:$C$258,3,)))</x:f>
        <x:v/>
      </x:c>
      <x:c r="D9" s="219"/>
      <x:c r="E9" s="213"/>
      <x:c r="F9" s="388" t="str">
        <x:f t="shared" ref="F9:G22" si="11">IF($E9="","",IF($E9="2추","직접입력","-"))</x:f>
        <x:v/>
      </x:c>
      <x:c r="G9" s="388" t="str">
        <x:f t="shared" si="11"/>
        <x:v/>
      </x:c>
      <x:c r="H9" s="213"/>
      <x:c r="I9" s="156" t="str">
        <x:f>IF(H9="","",VLOOKUP($H9,구분표!$K$3:$M$151,2,FALSE))</x:f>
        <x:v/>
      </x:c>
      <x:c r="J9" s="156" t="str">
        <x:f>IF(I9="","",VLOOKUP($H9,구분표!$K$3:$M$151,3,FALSE))</x:f>
        <x:v/>
      </x:c>
      <x:c r="K9" s="233"/>
      <x:c r="L9" s="233"/>
      <x:c r="M9" s="459" t="str">
        <x:f t="shared" ref="M9:M22" si="12">IF($E9="","",IF(OR($E9="2추",$E9="1추",$E9="본예산"),"금액입력","-"))</x:f>
        <x:v/>
      </x:c>
      <x:c r="N9" s="459" t="str">
        <x:f t="shared" ref="N9:N22" si="13">IF($E9="","",IF($E9="2추","금액입력","-"))</x:f>
        <x:v/>
      </x:c>
      <x:c r="O9" s="461" t="str">
        <x:f t="shared" ref="O9:O22" si="14">IF($E9="","",SUM(M9:N9))</x:f>
        <x:v/>
      </x:c>
      <x:c r="P9" s="460"/>
      <x:c r="Q9" s="461">
        <x:f t="shared" ref="Q9:Q22" si="15">SUM(O9:P9)</x:f>
        <x:v>0</x:v>
      </x:c>
      <x:c r="R9" s="462"/>
      <x:c r="S9" s="463">
        <x:f t="shared" ref="S9:S22" si="16">SUM(O9,R9)</x:f>
        <x:v>0</x:v>
      </x:c>
      <x:c r="T9" s="162" t="str">
        <x:f t="shared" ref="T9:T22" si="17">IF(AND((Q9=0),(S9&gt;0)),"O",IF(AND((P9&lt;0),(Q9-S9&lt;0)),"O","X"))</x:f>
        <x:v>X</x:v>
      </x:c>
      <x:c r="U9" s="220"/>
      <x:c r="V9" s="331"/>
      <x:c r="W9" s="221"/>
      <x:c r="X9" s="222"/>
      <x:c r="Y9" s="220"/>
      <x:c r="Z9" s="222"/>
      <x:c r="AA9" s="220"/>
      <x:c r="AC9" s="487">
        <x:f t="shared" ref="AC9:AC22" si="18">IF($P9="",0,IF(AND(ISNUMBER(AD9),ISNUMBER(AE9)),$P9-$AD9-$AE9,0))</x:f>
        <x:v>0</x:v>
      </x:c>
      <x:c r="AD9" s="487">
        <x:f t="shared" si="3"/>
        <x:v>0</x:v>
      </x:c>
      <x:c r="AE9" s="487">
        <x:f t="shared" si="4"/>
        <x:v>0</x:v>
      </x:c>
      <x:c r="AF9" s="374" t="str">
        <x:f t="shared" ref="AF9:AF22" si="19">IF($P9="",IF(SUM($AC9:$AE9)=0,"","@@"),IF(AND($P9=SUM($AC9:$AE9),Q9&gt;=0),"OK","@@"))</x:f>
        <x:v/>
      </x:c>
      <x:c r="AG9" s="165"/>
      <x:c r="AH9" s="487">
        <x:f t="shared" si="5"/>
        <x:v>0</x:v>
      </x:c>
      <x:c r="AI9" s="487">
        <x:f t="shared" si="6"/>
        <x:v>0</x:v>
      </x:c>
      <x:c r="AJ9" s="487">
        <x:f t="shared" si="7"/>
        <x:v>0</x:v>
      </x:c>
      <x:c r="AK9" s="374" t="str">
        <x:f t="shared" si="8"/>
        <x:v/>
      </x:c>
      <x:c r="AL9" s="8"/>
      <x:c r="AM9" s="533"/>
      <x:c r="AN9" s="374" t="str">
        <x:f>IF($AM9="","",IF($AM9="세입없음","OK",IF(COUNTIF('3. 일입'!$AN$8:$AN$2000,$AM9),"OK","@@")))</x:f>
        <x:v/>
      </x:c>
      <x:c r="AO9" s="356" t="str">
        <x:f t="shared" si="9"/>
        <x:v/>
      </x:c>
      <x:c r="AP9" s="374" t="str">
        <x:f t="shared" si="10"/>
        <x:v/>
      </x:c>
      <x:c r="AQ9" s="93"/>
      <x:c r="AR9" s="374" t="str">
        <x:f t="array" ref="AR9:AR9">IF(OR($D9="",$C9="직접입력",$B9="직접입력"),"",INDEX(구분표!$I$3:$I$321,MATCH(1,(구분표!$G$3:$G$321=$B9)*(구분표!$E$3:$E$321=$C9)*(구분표!$F$3:$F$321=$D9),0)))</x:f>
        <x:v/>
      </x:c>
      <x:c r="AS9" s="21"/>
    </x:row>
    <x:row r="10" spans="1:45" s="20" customFormat="1" ht="60" customHeight="1">
      <x:c r="A10" s="155" t="str">
        <x:f>IF(D10="","",COUNTA($C$7:C10)-COUNTBLANK($C$7:C10)+1)</x:f>
        <x:v/>
      </x:c>
      <x:c r="B10" s="156" t="str">
        <x: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x:f>
        <x:v/>
      </x:c>
      <x:c r="C10" s="156" t="str">
        <x:f>IF(D10="","",IF(OR(D10="교육지원과",D10="총무과",D10="인사과"),"직접입력",VLOOKUP(D10,구분표!$A$3:$C$258,3,)))</x:f>
        <x:v/>
      </x:c>
      <x:c r="D10" s="219"/>
      <x:c r="E10" s="213"/>
      <x:c r="F10" s="388" t="str">
        <x:f t="shared" si="11"/>
        <x:v/>
      </x:c>
      <x:c r="G10" s="388" t="str">
        <x:f t="shared" si="11"/>
        <x:v/>
      </x:c>
      <x:c r="H10" s="213"/>
      <x:c r="I10" s="156" t="str">
        <x:f>IF(H10="","",VLOOKUP($H10,구분표!$K$3:$M$151,2,FALSE))</x:f>
        <x:v/>
      </x:c>
      <x:c r="J10" s="156" t="str">
        <x:f>IF(I10="","",VLOOKUP($H10,구분표!$K$3:$M$151,3,FALSE))</x:f>
        <x:v/>
      </x:c>
      <x:c r="K10" s="233"/>
      <x:c r="L10" s="233"/>
      <x:c r="M10" s="459" t="str">
        <x:f t="shared" si="12"/>
        <x:v/>
      </x:c>
      <x:c r="N10" s="459" t="str">
        <x:f t="shared" si="13"/>
        <x:v/>
      </x:c>
      <x:c r="O10" s="461" t="str">
        <x:f t="shared" si="14"/>
        <x:v/>
      </x:c>
      <x:c r="P10" s="460"/>
      <x:c r="Q10" s="461">
        <x:f t="shared" si="15"/>
        <x:v>0</x:v>
      </x:c>
      <x:c r="R10" s="462"/>
      <x:c r="S10" s="463">
        <x:f t="shared" si="16"/>
        <x:v>0</x:v>
      </x:c>
      <x:c r="T10" s="162" t="str">
        <x:f t="shared" si="17"/>
        <x:v>X</x:v>
      </x:c>
      <x:c r="U10" s="220"/>
      <x:c r="V10" s="331"/>
      <x:c r="W10" s="221"/>
      <x:c r="X10" s="222"/>
      <x:c r="Y10" s="220"/>
      <x:c r="Z10" s="222"/>
      <x:c r="AA10" s="220"/>
      <x:c r="AC10" s="487">
        <x:f t="shared" si="18"/>
        <x:v>0</x:v>
      </x:c>
      <x:c r="AD10" s="487">
        <x:f t="shared" si="3"/>
        <x:v>0</x:v>
      </x:c>
      <x:c r="AE10" s="487">
        <x:f t="shared" si="4"/>
        <x:v>0</x:v>
      </x:c>
      <x:c r="AF10" s="374" t="str">
        <x:f t="shared" si="19"/>
        <x:v/>
      </x:c>
      <x:c r="AG10" s="165"/>
      <x:c r="AH10" s="487">
        <x:f t="shared" si="5"/>
        <x:v>0</x:v>
      </x:c>
      <x:c r="AI10" s="487">
        <x:f t="shared" si="6"/>
        <x:v>0</x:v>
      </x:c>
      <x:c r="AJ10" s="487">
        <x:f t="shared" si="7"/>
        <x:v>0</x:v>
      </x:c>
      <x:c r="AK10" s="374" t="str">
        <x:f t="shared" si="8"/>
        <x:v/>
      </x:c>
      <x:c r="AL10" s="8"/>
      <x:c r="AM10" s="533"/>
      <x:c r="AN10" s="374" t="str">
        <x:f>IF($AM10="","",IF($AM10="세입없음","OK",IF(COUNTIF('3. 일입'!$AN$8:$AN$2000,$AM10),"OK","@@")))</x:f>
        <x:v/>
      </x:c>
      <x:c r="AO10" s="356" t="str">
        <x:f t="shared" si="9"/>
        <x:v/>
      </x:c>
      <x:c r="AP10" s="374" t="str">
        <x:f t="shared" si="10"/>
        <x:v/>
      </x:c>
      <x:c r="AQ10" s="93"/>
      <x:c r="AR10" s="374" t="str">
        <x:f t="array" ref="AR10:AR10">IF(OR($D10="",$C10="직접입력",$B10="직접입력"),"",INDEX(구분표!$I$3:$I$321,MATCH(1,(구분표!$G$3:$G$321=$B10)*(구분표!$E$3:$E$321=$C10)*(구분표!$F$3:$F$321=$D10),0)))</x:f>
        <x:v/>
      </x:c>
      <x:c r="AS10" s="21"/>
    </x:row>
    <x:row r="11" spans="1:45" s="157" customFormat="1" ht="60" customHeight="1">
      <x:c r="A11" s="155" t="str">
        <x:f>IF(D11="","",COUNTA($C$7:C11)-COUNTBLANK($C$7:C11)+1)</x:f>
        <x:v/>
      </x:c>
      <x:c r="B11" s="156" t="str">
        <x: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x:f>
        <x:v/>
      </x:c>
      <x:c r="C11" s="156" t="str">
        <x:f>IF(D11="","",IF(OR(D11="교육지원과",D11="총무과",D11="인사과"),"직접입력",VLOOKUP(D11,구분표!$A$3:$C$258,3,)))</x:f>
        <x:v/>
      </x:c>
      <x:c r="D11" s="219"/>
      <x:c r="E11" s="213"/>
      <x:c r="F11" s="388" t="str">
        <x:f t="shared" si="11"/>
        <x:v/>
      </x:c>
      <x:c r="G11" s="388" t="str">
        <x:f t="shared" si="11"/>
        <x:v/>
      </x:c>
      <x:c r="H11" s="213"/>
      <x:c r="I11" s="156" t="str">
        <x:f>IF(H11="","",VLOOKUP($H11,구분표!$K$3:$M$151,2,FALSE))</x:f>
        <x:v/>
      </x:c>
      <x:c r="J11" s="156" t="str">
        <x:f>IF(I11="","",VLOOKUP($H11,구분표!$K$3:$M$151,3,FALSE))</x:f>
        <x:v/>
      </x:c>
      <x:c r="K11" s="233"/>
      <x:c r="L11" s="233"/>
      <x:c r="M11" s="459" t="str">
        <x:f t="shared" si="12"/>
        <x:v/>
      </x:c>
      <x:c r="N11" s="459" t="str">
        <x:f t="shared" si="13"/>
        <x:v/>
      </x:c>
      <x:c r="O11" s="461" t="str">
        <x:f t="shared" si="14"/>
        <x:v/>
      </x:c>
      <x:c r="P11" s="460"/>
      <x:c r="Q11" s="461">
        <x:f t="shared" si="15"/>
        <x:v>0</x:v>
      </x:c>
      <x:c r="R11" s="462"/>
      <x:c r="S11" s="463">
        <x:f t="shared" si="16"/>
        <x:v>0</x:v>
      </x:c>
      <x:c r="T11" s="162" t="str">
        <x:f t="shared" si="17"/>
        <x:v>X</x:v>
      </x:c>
      <x:c r="U11" s="220"/>
      <x:c r="V11" s="331"/>
      <x:c r="W11" s="221"/>
      <x:c r="X11" s="222"/>
      <x:c r="Y11" s="220"/>
      <x:c r="Z11" s="222"/>
      <x:c r="AA11" s="220"/>
      <x:c r="AB11" s="20"/>
      <x:c r="AC11" s="487">
        <x:f t="shared" si="18"/>
        <x:v>0</x:v>
      </x:c>
      <x:c r="AD11" s="487">
        <x:f t="shared" si="3"/>
        <x:v>0</x:v>
      </x:c>
      <x:c r="AE11" s="487">
        <x:f t="shared" si="4"/>
        <x:v>0</x:v>
      </x:c>
      <x:c r="AF11" s="374" t="str">
        <x:f t="shared" si="19"/>
        <x:v/>
      </x:c>
      <x:c r="AG11" s="165"/>
      <x:c r="AH11" s="487">
        <x:f t="shared" si="5"/>
        <x:v>0</x:v>
      </x:c>
      <x:c r="AI11" s="487">
        <x:f t="shared" si="6"/>
        <x:v>0</x:v>
      </x:c>
      <x:c r="AJ11" s="487">
        <x:f t="shared" si="7"/>
        <x:v>0</x:v>
      </x:c>
      <x:c r="AK11" s="374" t="str">
        <x:f t="shared" si="8"/>
        <x:v/>
      </x:c>
      <x:c r="AL11" s="8"/>
      <x:c r="AM11" s="533"/>
      <x:c r="AN11" s="374" t="str">
        <x:f>IF($AM11="","",IF($AM11="세입없음","OK",IF(COUNTIF('3. 일입'!$AN$8:$AN$2000,$AM11),"OK","@@")))</x:f>
        <x:v/>
      </x:c>
      <x:c r="AO11" s="356" t="str">
        <x:f t="shared" si="9"/>
        <x:v/>
      </x:c>
      <x:c r="AP11" s="374" t="str">
        <x:f t="shared" si="10"/>
        <x:v/>
      </x:c>
      <x:c r="AQ11" s="93"/>
      <x:c r="AR11" s="374" t="str">
        <x:f t="array" ref="AR11:AR11">IF(OR($D11="",$C11="직접입력",$B11="직접입력"),"",INDEX(구분표!$I$3:$I$321,MATCH(1,(구분표!$G$3:$G$321=$B11)*(구분표!$E$3:$E$321=$C11)*(구분표!$F$3:$F$321=$D11),0)))</x:f>
        <x:v/>
      </x:c>
      <x:c r="AS11" s="21"/>
    </x:row>
    <x:row r="12" spans="1:45" s="20" customFormat="1" ht="60" customHeight="1">
      <x:c r="A12" s="155" t="str">
        <x:f>IF(D12="","",COUNTA($C$7:C12)-COUNTBLANK($C$7:C12)+1)</x:f>
        <x:v/>
      </x:c>
      <x:c r="B12" s="156" t="str">
        <x: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x:f>
        <x:v/>
      </x:c>
      <x:c r="C12" s="156" t="str">
        <x:f>IF(D12="","",IF(OR(D12="교육지원과",D12="총무과",D12="인사과"),"직접입력",VLOOKUP(D12,구분표!$A$3:$C$258,3,)))</x:f>
        <x:v/>
      </x:c>
      <x:c r="D12" s="219"/>
      <x:c r="E12" s="213"/>
      <x:c r="F12" s="388" t="str">
        <x:f t="shared" si="11"/>
        <x:v/>
      </x:c>
      <x:c r="G12" s="388" t="str">
        <x:f t="shared" si="11"/>
        <x:v/>
      </x:c>
      <x:c r="H12" s="213"/>
      <x:c r="I12" s="156" t="str">
        <x:f>IF(H12="","",VLOOKUP($H12,구분표!$K$3:$M$151,2,FALSE))</x:f>
        <x:v/>
      </x:c>
      <x:c r="J12" s="156" t="str">
        <x:f>IF(I12="","",VLOOKUP($H12,구분표!$K$3:$M$151,3,FALSE))</x:f>
        <x:v/>
      </x:c>
      <x:c r="K12" s="233"/>
      <x:c r="L12" s="233"/>
      <x:c r="M12" s="459" t="str">
        <x:f t="shared" si="12"/>
        <x:v/>
      </x:c>
      <x:c r="N12" s="459" t="str">
        <x:f t="shared" si="13"/>
        <x:v/>
      </x:c>
      <x:c r="O12" s="461" t="str">
        <x:f t="shared" si="14"/>
        <x:v/>
      </x:c>
      <x:c r="P12" s="460"/>
      <x:c r="Q12" s="461">
        <x:f t="shared" si="15"/>
        <x:v>0</x:v>
      </x:c>
      <x:c r="R12" s="462"/>
      <x:c r="S12" s="463">
        <x:f t="shared" si="16"/>
        <x:v>0</x:v>
      </x:c>
      <x:c r="T12" s="162" t="str">
        <x:f t="shared" si="17"/>
        <x:v>X</x:v>
      </x:c>
      <x:c r="U12" s="220"/>
      <x:c r="V12" s="331"/>
      <x:c r="W12" s="221"/>
      <x:c r="X12" s="222"/>
      <x:c r="Y12" s="220"/>
      <x:c r="Z12" s="222"/>
      <x:c r="AA12" s="220"/>
      <x:c r="AC12" s="487">
        <x:f t="shared" si="18"/>
        <x:v>0</x:v>
      </x:c>
      <x:c r="AD12" s="487">
        <x:f t="shared" si="3"/>
        <x:v>0</x:v>
      </x:c>
      <x:c r="AE12" s="487">
        <x:f t="shared" si="4"/>
        <x:v>0</x:v>
      </x:c>
      <x:c r="AF12" s="374" t="str">
        <x:f t="shared" si="19"/>
        <x:v/>
      </x:c>
      <x:c r="AG12" s="165"/>
      <x:c r="AH12" s="487">
        <x:f t="shared" si="5"/>
        <x:v>0</x:v>
      </x:c>
      <x:c r="AI12" s="487">
        <x:f t="shared" si="6"/>
        <x:v>0</x:v>
      </x:c>
      <x:c r="AJ12" s="487">
        <x:f t="shared" si="7"/>
        <x:v>0</x:v>
      </x:c>
      <x:c r="AK12" s="374" t="str">
        <x:f t="shared" si="8"/>
        <x:v/>
      </x:c>
      <x:c r="AL12" s="8"/>
      <x:c r="AM12" s="533"/>
      <x:c r="AN12" s="374" t="str">
        <x:f>IF($AM12="","",IF($AM12="세입없음","OK",IF(COUNTIF('3. 일입'!$AN$8:$AN$2000,$AM12),"OK","@@")))</x:f>
        <x:v/>
      </x:c>
      <x:c r="AO12" s="356" t="str">
        <x:f t="shared" si="9"/>
        <x:v/>
      </x:c>
      <x:c r="AP12" s="374" t="str">
        <x:f t="shared" si="10"/>
        <x:v/>
      </x:c>
      <x:c r="AQ12" s="93"/>
      <x:c r="AR12" s="374" t="str">
        <x:f t="array" ref="AR12:AR12">IF(OR($D12="",$C12="직접입력",$B12="직접입력"),"",INDEX(구분표!$I$3:$I$321,MATCH(1,(구분표!$G$3:$G$321=$B12)*(구분표!$E$3:$E$321=$C12)*(구분표!$F$3:$F$321=$D12),0)))</x:f>
        <x:v/>
      </x:c>
      <x:c r="AS12" s="21"/>
    </x:row>
    <x:row r="13" spans="1:45" s="20" customFormat="1" ht="60" customHeight="1">
      <x:c r="A13" s="155" t="str">
        <x:f>IF(D13="","",COUNTA($C$7:C13)-COUNTBLANK($C$7:C13)+1)</x:f>
        <x:v/>
      </x:c>
      <x:c r="B13" s="156" t="str">
        <x: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x:f>
        <x:v/>
      </x:c>
      <x:c r="C13" s="156" t="str">
        <x:f>IF(D13="","",IF(OR(D13="교육지원과",D13="총무과",D13="인사과"),"직접입력",VLOOKUP(D13,구분표!$A$3:$C$258,3,)))</x:f>
        <x:v/>
      </x:c>
      <x:c r="D13" s="219"/>
      <x:c r="E13" s="213"/>
      <x:c r="F13" s="388" t="str">
        <x:f t="shared" si="11"/>
        <x:v/>
      </x:c>
      <x:c r="G13" s="388" t="str">
        <x:f t="shared" si="11"/>
        <x:v/>
      </x:c>
      <x:c r="H13" s="213"/>
      <x:c r="I13" s="156" t="str">
        <x:f>IF(H13="","",VLOOKUP($H13,구분표!$K$3:$M$151,2,FALSE))</x:f>
        <x:v/>
      </x:c>
      <x:c r="J13" s="156" t="str">
        <x:f>IF(I13="","",VLOOKUP($H13,구분표!$K$3:$M$151,3,FALSE))</x:f>
        <x:v/>
      </x:c>
      <x:c r="K13" s="233"/>
      <x:c r="L13" s="233"/>
      <x:c r="M13" s="459" t="str">
        <x:f t="shared" si="12"/>
        <x:v/>
      </x:c>
      <x:c r="N13" s="459" t="str">
        <x:f t="shared" si="13"/>
        <x:v/>
      </x:c>
      <x:c r="O13" s="461" t="str">
        <x:f t="shared" si="14"/>
        <x:v/>
      </x:c>
      <x:c r="P13" s="460"/>
      <x:c r="Q13" s="461">
        <x:f t="shared" si="15"/>
        <x:v>0</x:v>
      </x:c>
      <x:c r="R13" s="462"/>
      <x:c r="S13" s="463">
        <x:f t="shared" si="16"/>
        <x:v>0</x:v>
      </x:c>
      <x:c r="T13" s="162" t="str">
        <x:f t="shared" si="17"/>
        <x:v>X</x:v>
      </x:c>
      <x:c r="U13" s="220"/>
      <x:c r="V13" s="331"/>
      <x:c r="W13" s="221"/>
      <x:c r="X13" s="222"/>
      <x:c r="Y13" s="220"/>
      <x:c r="Z13" s="222"/>
      <x:c r="AA13" s="220"/>
      <x:c r="AC13" s="487">
        <x:f t="shared" si="18"/>
        <x:v>0</x:v>
      </x:c>
      <x:c r="AD13" s="487">
        <x:f t="shared" si="3"/>
        <x:v>0</x:v>
      </x:c>
      <x:c r="AE13" s="487">
        <x:f t="shared" si="4"/>
        <x:v>0</x:v>
      </x:c>
      <x:c r="AF13" s="374" t="str">
        <x:f t="shared" si="19"/>
        <x:v/>
      </x:c>
      <x:c r="AG13" s="165"/>
      <x:c r="AH13" s="487">
        <x:f t="shared" si="5"/>
        <x:v>0</x:v>
      </x:c>
      <x:c r="AI13" s="487">
        <x:f t="shared" si="6"/>
        <x:v>0</x:v>
      </x:c>
      <x:c r="AJ13" s="487">
        <x:f t="shared" si="7"/>
        <x:v>0</x:v>
      </x:c>
      <x:c r="AK13" s="374" t="str">
        <x:f t="shared" si="8"/>
        <x:v/>
      </x:c>
      <x:c r="AL13" s="8"/>
      <x:c r="AM13" s="533"/>
      <x:c r="AN13" s="374" t="str">
        <x:f>IF($AM13="","",IF($AM13="세입없음","OK",IF(COUNTIF('3. 일입'!$AN$8:$AN$2000,$AM13),"OK","@@")))</x:f>
        <x:v/>
      </x:c>
      <x:c r="AO13" s="356" t="str">
        <x:f t="shared" si="9"/>
        <x:v/>
      </x:c>
      <x:c r="AP13" s="374" t="str">
        <x:f t="shared" si="10"/>
        <x:v/>
      </x:c>
      <x:c r="AQ13" s="93"/>
      <x:c r="AR13" s="374" t="str">
        <x:f t="array" ref="AR13:AR13">IF(OR($D13="",$C13="직접입력",$B13="직접입력"),"",INDEX(구분표!$I$3:$I$321,MATCH(1,(구분표!$G$3:$G$321=$B13)*(구분표!$E$3:$E$321=$C13)*(구분표!$F$3:$F$321=$D13),0)))</x:f>
        <x:v/>
      </x:c>
      <x:c r="AS13" s="21"/>
    </x:row>
    <x:row r="14" spans="1:45" s="20" customFormat="1" ht="60" customHeight="1">
      <x:c r="A14" s="155" t="str">
        <x:f>IF(D14="","",COUNTA($C$7:C14)-COUNTBLANK($C$7:C14)+1)</x:f>
        <x:v/>
      </x:c>
      <x:c r="B14" s="156" t="str">
        <x: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x:f>
        <x:v/>
      </x:c>
      <x:c r="C14" s="156" t="str">
        <x:f>IF(D14="","",IF(OR(D14="교육지원과",D14="총무과",D14="인사과"),"직접입력",VLOOKUP(D14,구분표!$A$3:$C$258,3,)))</x:f>
        <x:v/>
      </x:c>
      <x:c r="D14" s="219"/>
      <x:c r="E14" s="213"/>
      <x:c r="F14" s="388" t="str">
        <x:f t="shared" si="11"/>
        <x:v/>
      </x:c>
      <x:c r="G14" s="388" t="str">
        <x:f t="shared" si="11"/>
        <x:v/>
      </x:c>
      <x:c r="H14" s="213"/>
      <x:c r="I14" s="156" t="str">
        <x:f>IF(H14="","",VLOOKUP($H14,구분표!$K$3:$M$151,2,FALSE))</x:f>
        <x:v/>
      </x:c>
      <x:c r="J14" s="156" t="str">
        <x:f>IF(I14="","",VLOOKUP($H14,구분표!$K$3:$M$151,3,FALSE))</x:f>
        <x:v/>
      </x:c>
      <x:c r="K14" s="233"/>
      <x:c r="L14" s="233"/>
      <x:c r="M14" s="459" t="str">
        <x:f t="shared" si="12"/>
        <x:v/>
      </x:c>
      <x:c r="N14" s="459" t="str">
        <x:f t="shared" si="13"/>
        <x:v/>
      </x:c>
      <x:c r="O14" s="461" t="str">
        <x:f t="shared" si="14"/>
        <x:v/>
      </x:c>
      <x:c r="P14" s="460"/>
      <x:c r="Q14" s="461">
        <x:f t="shared" si="15"/>
        <x:v>0</x:v>
      </x:c>
      <x:c r="R14" s="462"/>
      <x:c r="S14" s="463">
        <x:f t="shared" si="16"/>
        <x:v>0</x:v>
      </x:c>
      <x:c r="T14" s="162" t="str">
        <x:f t="shared" si="17"/>
        <x:v>X</x:v>
      </x:c>
      <x:c r="U14" s="220"/>
      <x:c r="V14" s="331"/>
      <x:c r="W14" s="221"/>
      <x:c r="X14" s="222"/>
      <x:c r="Y14" s="220"/>
      <x:c r="Z14" s="222"/>
      <x:c r="AA14" s="220"/>
      <x:c r="AC14" s="487">
        <x:f t="shared" si="18"/>
        <x:v>0</x:v>
      </x:c>
      <x:c r="AD14" s="487">
        <x:f t="shared" si="3"/>
        <x:v>0</x:v>
      </x:c>
      <x:c r="AE14" s="487">
        <x:f t="shared" si="4"/>
        <x:v>0</x:v>
      </x:c>
      <x:c r="AF14" s="374" t="str">
        <x:f t="shared" si="19"/>
        <x:v/>
      </x:c>
      <x:c r="AG14" s="165"/>
      <x:c r="AH14" s="487">
        <x:f t="shared" si="5"/>
        <x:v>0</x:v>
      </x:c>
      <x:c r="AI14" s="487">
        <x:f t="shared" si="6"/>
        <x:v>0</x:v>
      </x:c>
      <x:c r="AJ14" s="487">
        <x:f t="shared" si="7"/>
        <x:v>0</x:v>
      </x:c>
      <x:c r="AK14" s="374" t="str">
        <x:f t="shared" si="8"/>
        <x:v/>
      </x:c>
      <x:c r="AL14" s="8"/>
      <x:c r="AM14" s="533"/>
      <x:c r="AN14" s="374" t="str">
        <x:f>IF($AM14="","",IF($AM14="세입없음","OK",IF(COUNTIF('3. 일입'!$AN$8:$AN$2000,$AM14),"OK","@@")))</x:f>
        <x:v/>
      </x:c>
      <x:c r="AO14" s="356" t="str">
        <x:f t="shared" si="9"/>
        <x:v/>
      </x:c>
      <x:c r="AP14" s="374" t="str">
        <x:f t="shared" si="10"/>
        <x:v/>
      </x:c>
      <x:c r="AQ14" s="93"/>
      <x:c r="AR14" s="374" t="str">
        <x:f t="array" ref="AR14:AR14">IF(OR($D14="",$C14="직접입력",$B14="직접입력"),"",INDEX(구분표!$I$3:$I$321,MATCH(1,(구분표!$G$3:$G$321=$B14)*(구분표!$E$3:$E$321=$C14)*(구분표!$F$3:$F$321=$D14),0)))</x:f>
        <x:v/>
      </x:c>
      <x:c r="AS14" s="21"/>
    </x:row>
    <x:row r="15" spans="1:45" s="157" customFormat="1" ht="60" customHeight="1">
      <x:c r="A15" s="155" t="str">
        <x:f>IF(D15="","",COUNTA($C$7:C15)-COUNTBLANK($C$7:C15)+1)</x:f>
        <x:v/>
      </x:c>
      <x:c r="B15" s="156" t="str">
        <x: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x:f>
        <x:v/>
      </x:c>
      <x:c r="C15" s="156" t="str">
        <x:f>IF(D15="","",IF(OR(D15="교육지원과",D15="총무과",D15="인사과"),"직접입력",VLOOKUP(D15,구분표!$A$3:$C$258,3,)))</x:f>
        <x:v/>
      </x:c>
      <x:c r="D15" s="219"/>
      <x:c r="E15" s="213"/>
      <x:c r="F15" s="388" t="str">
        <x:f t="shared" si="11"/>
        <x:v/>
      </x:c>
      <x:c r="G15" s="388" t="str">
        <x:f t="shared" si="11"/>
        <x:v/>
      </x:c>
      <x:c r="H15" s="213"/>
      <x:c r="I15" s="156" t="str">
        <x:f>IF(H15="","",VLOOKUP($H15,구분표!$K$3:$M$151,2,FALSE))</x:f>
        <x:v/>
      </x:c>
      <x:c r="J15" s="156" t="str">
        <x:f>IF(I15="","",VLOOKUP($H15,구분표!$K$3:$M$151,3,FALSE))</x:f>
        <x:v/>
      </x:c>
      <x:c r="K15" s="233"/>
      <x:c r="L15" s="233"/>
      <x:c r="M15" s="459" t="str">
        <x:f t="shared" si="12"/>
        <x:v/>
      </x:c>
      <x:c r="N15" s="459" t="str">
        <x:f t="shared" si="13"/>
        <x:v/>
      </x:c>
      <x:c r="O15" s="461" t="str">
        <x:f t="shared" si="14"/>
        <x:v/>
      </x:c>
      <x:c r="P15" s="460"/>
      <x:c r="Q15" s="461">
        <x:f t="shared" si="15"/>
        <x:v>0</x:v>
      </x:c>
      <x:c r="R15" s="462"/>
      <x:c r="S15" s="463">
        <x:f t="shared" si="16"/>
        <x:v>0</x:v>
      </x:c>
      <x:c r="T15" s="162" t="str">
        <x:f t="shared" si="17"/>
        <x:v>X</x:v>
      </x:c>
      <x:c r="U15" s="220"/>
      <x:c r="V15" s="331"/>
      <x:c r="W15" s="221"/>
      <x:c r="X15" s="222"/>
      <x:c r="Y15" s="220"/>
      <x:c r="Z15" s="222"/>
      <x:c r="AA15" s="220"/>
      <x:c r="AB15" s="20"/>
      <x:c r="AC15" s="487">
        <x:f t="shared" si="18"/>
        <x:v>0</x:v>
      </x:c>
      <x:c r="AD15" s="487">
        <x:f t="shared" si="3"/>
        <x:v>0</x:v>
      </x:c>
      <x:c r="AE15" s="487">
        <x:f t="shared" si="4"/>
        <x:v>0</x:v>
      </x:c>
      <x:c r="AF15" s="374" t="str">
        <x:f t="shared" si="19"/>
        <x:v/>
      </x:c>
      <x:c r="AG15" s="165"/>
      <x:c r="AH15" s="487">
        <x:f t="shared" si="5"/>
        <x:v>0</x:v>
      </x:c>
      <x:c r="AI15" s="487">
        <x:f t="shared" si="6"/>
        <x:v>0</x:v>
      </x:c>
      <x:c r="AJ15" s="487">
        <x:f t="shared" si="7"/>
        <x:v>0</x:v>
      </x:c>
      <x:c r="AK15" s="374" t="str">
        <x:f t="shared" si="8"/>
        <x:v/>
      </x:c>
      <x:c r="AL15" s="8"/>
      <x:c r="AM15" s="533"/>
      <x:c r="AN15" s="374" t="str">
        <x:f>IF($AM15="","",IF($AM15="세입없음","OK",IF(COUNTIF('3. 일입'!$AN$8:$AN$2000,$AM15),"OK","@@")))</x:f>
        <x:v/>
      </x:c>
      <x:c r="AO15" s="356" t="str">
        <x:f t="shared" si="9"/>
        <x:v/>
      </x:c>
      <x:c r="AP15" s="374" t="str">
        <x:f t="shared" si="10"/>
        <x:v/>
      </x:c>
      <x:c r="AQ15" s="93"/>
      <x:c r="AR15" s="374" t="str">
        <x:f t="array" ref="AR15:AR15">IF(OR($D15="",$C15="직접입력",$B15="직접입력"),"",INDEX(구분표!$I$3:$I$321,MATCH(1,(구분표!$G$3:$G$321=$B15)*(구분표!$E$3:$E$321=$C15)*(구분표!$F$3:$F$321=$D15),0)))</x:f>
        <x:v/>
      </x:c>
      <x:c r="AS15" s="21"/>
    </x:row>
    <x:row r="16" spans="1:45" s="157" customFormat="1" ht="60" customHeight="1">
      <x:c r="A16" s="155" t="str">
        <x:f>IF(D16="","",COUNTA($C$7:C16)-COUNTBLANK($C$7:C16)+1)</x:f>
        <x:v/>
      </x:c>
      <x:c r="B16" s="156" t="str">
        <x: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x:f>
        <x:v/>
      </x:c>
      <x:c r="C16" s="156" t="str">
        <x:f>IF(D16="","",IF(OR(D16="교육지원과",D16="총무과",D16="인사과"),"직접입력",VLOOKUP(D16,구분표!$A$3:$C$258,3,)))</x:f>
        <x:v/>
      </x:c>
      <x:c r="D16" s="219"/>
      <x:c r="E16" s="213"/>
      <x:c r="F16" s="388" t="str">
        <x:f t="shared" si="11"/>
        <x:v/>
      </x:c>
      <x:c r="G16" s="388" t="str">
        <x:f t="shared" si="11"/>
        <x:v/>
      </x:c>
      <x:c r="H16" s="213"/>
      <x:c r="I16" s="156" t="str">
        <x:f>IF(H16="","",VLOOKUP($H16,구분표!$K$3:$M$151,2,FALSE))</x:f>
        <x:v/>
      </x:c>
      <x:c r="J16" s="156" t="str">
        <x:f>IF(I16="","",VLOOKUP($H16,구분표!$K$3:$M$151,3,FALSE))</x:f>
        <x:v/>
      </x:c>
      <x:c r="K16" s="233"/>
      <x:c r="L16" s="233"/>
      <x:c r="M16" s="459" t="str">
        <x:f t="shared" si="12"/>
        <x:v/>
      </x:c>
      <x:c r="N16" s="459" t="str">
        <x:f t="shared" si="13"/>
        <x:v/>
      </x:c>
      <x:c r="O16" s="461" t="str">
        <x:f t="shared" si="14"/>
        <x:v/>
      </x:c>
      <x:c r="P16" s="460"/>
      <x:c r="Q16" s="461">
        <x:f t="shared" si="15"/>
        <x:v>0</x:v>
      </x:c>
      <x:c r="R16" s="462"/>
      <x:c r="S16" s="463">
        <x:f t="shared" si="16"/>
        <x:v>0</x:v>
      </x:c>
      <x:c r="T16" s="162" t="str">
        <x:f t="shared" si="17"/>
        <x:v>X</x:v>
      </x:c>
      <x:c r="U16" s="220"/>
      <x:c r="V16" s="331"/>
      <x:c r="W16" s="221"/>
      <x:c r="X16" s="222"/>
      <x:c r="Y16" s="220"/>
      <x:c r="Z16" s="222"/>
      <x:c r="AA16" s="220"/>
      <x:c r="AB16" s="20"/>
      <x:c r="AC16" s="487">
        <x:f t="shared" si="18"/>
        <x:v>0</x:v>
      </x:c>
      <x:c r="AD16" s="487">
        <x:f t="shared" si="3"/>
        <x:v>0</x:v>
      </x:c>
      <x:c r="AE16" s="487">
        <x:f t="shared" si="4"/>
        <x:v>0</x:v>
      </x:c>
      <x:c r="AF16" s="374" t="str">
        <x:f t="shared" si="19"/>
        <x:v/>
      </x:c>
      <x:c r="AG16" s="165"/>
      <x:c r="AH16" s="487">
        <x:f t="shared" si="5"/>
        <x:v>0</x:v>
      </x:c>
      <x:c r="AI16" s="487">
        <x:f t="shared" si="6"/>
        <x:v>0</x:v>
      </x:c>
      <x:c r="AJ16" s="487">
        <x:f t="shared" si="7"/>
        <x:v>0</x:v>
      </x:c>
      <x:c r="AK16" s="374" t="str">
        <x:f t="shared" si="8"/>
        <x:v/>
      </x:c>
      <x:c r="AL16" s="8"/>
      <x:c r="AM16" s="533"/>
      <x:c r="AN16" s="374" t="str">
        <x:f>IF($AM16="","",IF($AM16="세입없음","OK",IF(COUNTIF('3. 일입'!$AN$8:$AN$2000,$AM16),"OK","@@")))</x:f>
        <x:v/>
      </x:c>
      <x:c r="AO16" s="356" t="str">
        <x:f t="shared" si="9"/>
        <x:v/>
      </x:c>
      <x:c r="AP16" s="374" t="str">
        <x:f t="shared" si="10"/>
        <x:v/>
      </x:c>
      <x:c r="AQ16" s="93"/>
      <x:c r="AR16" s="374" t="str">
        <x:f t="array" ref="AR16:AR16">IF(OR($D16="",$C16="직접입력",$B16="직접입력"),"",INDEX(구분표!$I$3:$I$321,MATCH(1,(구분표!$G$3:$G$321=$B16)*(구분표!$E$3:$E$321=$C16)*(구분표!$F$3:$F$321=$D16),0)))</x:f>
        <x:v/>
      </x:c>
      <x:c r="AS16" s="21"/>
    </x:row>
    <x:row r="17" spans="1:45" s="20" customFormat="1" ht="60" customHeight="1">
      <x:c r="A17" s="155" t="str">
        <x:f>IF(D17="","",COUNTA($C$7:C17)-COUNTBLANK($C$7:C17)+1)</x:f>
        <x:v/>
      </x:c>
      <x:c r="B17" s="156" t="str">
        <x: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x:f>
        <x:v/>
      </x:c>
      <x:c r="C17" s="156" t="str">
        <x:f>IF(D17="","",IF(OR(D17="교육지원과",D17="총무과",D17="인사과"),"직접입력",VLOOKUP(D17,구분표!$A$3:$C$258,3,)))</x:f>
        <x:v/>
      </x:c>
      <x:c r="D17" s="219"/>
      <x:c r="E17" s="213"/>
      <x:c r="F17" s="388" t="str">
        <x:f t="shared" si="11"/>
        <x:v/>
      </x:c>
      <x:c r="G17" s="388" t="str">
        <x:f t="shared" si="11"/>
        <x:v/>
      </x:c>
      <x:c r="H17" s="213"/>
      <x:c r="I17" s="156" t="str">
        <x:f>IF(H17="","",VLOOKUP($H17,구분표!$K$3:$M$151,2,FALSE))</x:f>
        <x:v/>
      </x:c>
      <x:c r="J17" s="156" t="str">
        <x:f>IF(I17="","",VLOOKUP($H17,구분표!$K$3:$M$151,3,FALSE))</x:f>
        <x:v/>
      </x:c>
      <x:c r="K17" s="233"/>
      <x:c r="L17" s="233"/>
      <x:c r="M17" s="459" t="str">
        <x:f t="shared" si="12"/>
        <x:v/>
      </x:c>
      <x:c r="N17" s="459" t="str">
        <x:f t="shared" si="13"/>
        <x:v/>
      </x:c>
      <x:c r="O17" s="461" t="str">
        <x:f t="shared" si="14"/>
        <x:v/>
      </x:c>
      <x:c r="P17" s="460"/>
      <x:c r="Q17" s="461">
        <x:f t="shared" si="15"/>
        <x:v>0</x:v>
      </x:c>
      <x:c r="R17" s="462"/>
      <x:c r="S17" s="463">
        <x:f t="shared" si="16"/>
        <x:v>0</x:v>
      </x:c>
      <x:c r="T17" s="162" t="str">
        <x:f t="shared" si="17"/>
        <x:v>X</x:v>
      </x:c>
      <x:c r="U17" s="220"/>
      <x:c r="V17" s="331"/>
      <x:c r="W17" s="221"/>
      <x:c r="X17" s="222"/>
      <x:c r="Y17" s="220"/>
      <x:c r="Z17" s="222"/>
      <x:c r="AA17" s="220"/>
      <x:c r="AC17" s="487">
        <x:f t="shared" si="18"/>
        <x:v>0</x:v>
      </x:c>
      <x:c r="AD17" s="487">
        <x:f t="shared" si="3"/>
        <x:v>0</x:v>
      </x:c>
      <x:c r="AE17" s="487">
        <x:f t="shared" si="4"/>
        <x:v>0</x:v>
      </x:c>
      <x:c r="AF17" s="374" t="str">
        <x:f t="shared" si="19"/>
        <x:v/>
      </x:c>
      <x:c r="AG17" s="165"/>
      <x:c r="AH17" s="487">
        <x:f t="shared" si="5"/>
        <x:v>0</x:v>
      </x:c>
      <x:c r="AI17" s="487">
        <x:f t="shared" si="6"/>
        <x:v>0</x:v>
      </x:c>
      <x:c r="AJ17" s="487">
        <x:f t="shared" si="7"/>
        <x:v>0</x:v>
      </x:c>
      <x:c r="AK17" s="374" t="str">
        <x:f t="shared" si="8"/>
        <x:v/>
      </x:c>
      <x:c r="AL17" s="8"/>
      <x:c r="AM17" s="533"/>
      <x:c r="AN17" s="374" t="str">
        <x:f>IF($AM17="","",IF($AM17="세입없음","OK",IF(COUNTIF('3. 일입'!$AN$8:$AN$2000,$AM17),"OK","@@")))</x:f>
        <x:v/>
      </x:c>
      <x:c r="AO17" s="356" t="str">
        <x:f t="shared" si="9"/>
        <x:v/>
      </x:c>
      <x:c r="AP17" s="374" t="str">
        <x:f t="shared" si="10"/>
        <x:v/>
      </x:c>
      <x:c r="AQ17" s="93"/>
      <x:c r="AR17" s="374" t="str">
        <x:f t="array" ref="AR17:AR17">IF(OR($D17="",$C17="직접입력",$B17="직접입력"),"",INDEX(구분표!$I$3:$I$321,MATCH(1,(구분표!$G$3:$G$321=$B17)*(구분표!$E$3:$E$321=$C17)*(구분표!$F$3:$F$321=$D17),0)))</x:f>
        <x:v/>
      </x:c>
      <x:c r="AS17" s="21"/>
    </x:row>
    <x:row r="18" spans="1:45" s="20" customFormat="1" ht="60" customHeight="1">
      <x:c r="A18" s="155" t="str">
        <x:f>IF(D18="","",COUNTA($C$7:C18)-COUNTBLANK($C$7:C18)+1)</x:f>
        <x:v/>
      </x:c>
      <x:c r="B18" s="156" t="str">
        <x: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x:f>
        <x:v/>
      </x:c>
      <x:c r="C18" s="156" t="str">
        <x:f>IF(D18="","",IF(OR(D18="교육지원과",D18="총무과",D18="인사과"),"직접입력",VLOOKUP(D18,구분표!$A$3:$C$258,3,)))</x:f>
        <x:v/>
      </x:c>
      <x:c r="D18" s="219"/>
      <x:c r="E18" s="213"/>
      <x:c r="F18" s="388" t="str">
        <x:f t="shared" si="11"/>
        <x:v/>
      </x:c>
      <x:c r="G18" s="388" t="str">
        <x:f t="shared" si="11"/>
        <x:v/>
      </x:c>
      <x:c r="H18" s="213"/>
      <x:c r="I18" s="156" t="str">
        <x:f>IF(H18="","",VLOOKUP($H18,구분표!$K$3:$M$151,2,FALSE))</x:f>
        <x:v/>
      </x:c>
      <x:c r="J18" s="156" t="str">
        <x:f>IF(I18="","",VLOOKUP($H18,구분표!$K$3:$M$151,3,FALSE))</x:f>
        <x:v/>
      </x:c>
      <x:c r="K18" s="233"/>
      <x:c r="L18" s="233"/>
      <x:c r="M18" s="459" t="str">
        <x:f t="shared" si="12"/>
        <x:v/>
      </x:c>
      <x:c r="N18" s="459" t="str">
        <x:f t="shared" si="13"/>
        <x:v/>
      </x:c>
      <x:c r="O18" s="461" t="str">
        <x:f t="shared" si="14"/>
        <x:v/>
      </x:c>
      <x:c r="P18" s="460"/>
      <x:c r="Q18" s="461">
        <x:f t="shared" si="15"/>
        <x:v>0</x:v>
      </x:c>
      <x:c r="R18" s="462"/>
      <x:c r="S18" s="463">
        <x:f t="shared" si="16"/>
        <x:v>0</x:v>
      </x:c>
      <x:c r="T18" s="162" t="str">
        <x:f t="shared" si="17"/>
        <x:v>X</x:v>
      </x:c>
      <x:c r="U18" s="220"/>
      <x:c r="V18" s="331"/>
      <x:c r="W18" s="221"/>
      <x:c r="X18" s="222"/>
      <x:c r="Y18" s="220"/>
      <x:c r="Z18" s="222"/>
      <x:c r="AA18" s="220"/>
      <x:c r="AC18" s="487">
        <x:f t="shared" si="18"/>
        <x:v>0</x:v>
      </x:c>
      <x:c r="AD18" s="487">
        <x:f t="shared" si="3"/>
        <x:v>0</x:v>
      </x:c>
      <x:c r="AE18" s="487">
        <x:f t="shared" si="4"/>
        <x:v>0</x:v>
      </x:c>
      <x:c r="AF18" s="374" t="str">
        <x:f t="shared" si="19"/>
        <x:v/>
      </x:c>
      <x:c r="AG18" s="165"/>
      <x:c r="AH18" s="487">
        <x:f t="shared" si="5"/>
        <x:v>0</x:v>
      </x:c>
      <x:c r="AI18" s="487">
        <x:f t="shared" si="6"/>
        <x:v>0</x:v>
      </x:c>
      <x:c r="AJ18" s="487">
        <x:f t="shared" si="7"/>
        <x:v>0</x:v>
      </x:c>
      <x:c r="AK18" s="374" t="str">
        <x:f t="shared" si="8"/>
        <x:v/>
      </x:c>
      <x:c r="AL18" s="8"/>
      <x:c r="AM18" s="533"/>
      <x:c r="AN18" s="374" t="str">
        <x:f>IF($AM18="","",IF($AM18="세입없음","OK",IF(COUNTIF('3. 일입'!$AN$8:$AN$2000,$AM18),"OK","@@")))</x:f>
        <x:v/>
      </x:c>
      <x:c r="AO18" s="356" t="str">
        <x:f t="shared" si="9"/>
        <x:v/>
      </x:c>
      <x:c r="AP18" s="374" t="str">
        <x:f t="shared" si="10"/>
        <x:v/>
      </x:c>
      <x:c r="AQ18" s="93"/>
      <x:c r="AR18" s="374" t="str">
        <x:f t="array" ref="AR18:AR18">IF(OR($D18="",$C18="직접입력",$B18="직접입력"),"",INDEX(구분표!$I$3:$I$321,MATCH(1,(구분표!$G$3:$G$321=$B18)*(구분표!$E$3:$E$321=$C18)*(구분표!$F$3:$F$321=$D18),0)))</x:f>
        <x:v/>
      </x:c>
      <x:c r="AS18" s="21"/>
    </x:row>
    <x:row r="19" spans="1:45" s="20" customFormat="1" ht="60" customHeight="1">
      <x:c r="A19" s="155" t="str">
        <x:f>IF(D19="","",COUNTA($C$7:C19)-COUNTBLANK($C$7:C19)+1)</x:f>
        <x:v/>
      </x:c>
      <x:c r="B19" s="156" t="str">
        <x: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x:f>
        <x:v/>
      </x:c>
      <x:c r="C19" s="156" t="str">
        <x:f>IF(D19="","",IF(OR(D19="교육지원과",D19="총무과",D19="인사과"),"직접입력",VLOOKUP(D19,구분표!$A$3:$C$258,3,)))</x:f>
        <x:v/>
      </x:c>
      <x:c r="D19" s="219"/>
      <x:c r="E19" s="213"/>
      <x:c r="F19" s="388" t="str">
        <x:f t="shared" si="11"/>
        <x:v/>
      </x:c>
      <x:c r="G19" s="388" t="str">
        <x:f t="shared" si="11"/>
        <x:v/>
      </x:c>
      <x:c r="H19" s="213"/>
      <x:c r="I19" s="156" t="str">
        <x:f>IF(H19="","",VLOOKUP($H19,구분표!$K$3:$M$151,2,FALSE))</x:f>
        <x:v/>
      </x:c>
      <x:c r="J19" s="156" t="str">
        <x:f>IF(I19="","",VLOOKUP($H19,구분표!$K$3:$M$151,3,FALSE))</x:f>
        <x:v/>
      </x:c>
      <x:c r="K19" s="233"/>
      <x:c r="L19" s="233"/>
      <x:c r="M19" s="459" t="str">
        <x:f t="shared" si="12"/>
        <x:v/>
      </x:c>
      <x:c r="N19" s="459" t="str">
        <x:f t="shared" si="13"/>
        <x:v/>
      </x:c>
      <x:c r="O19" s="461" t="str">
        <x:f t="shared" si="14"/>
        <x:v/>
      </x:c>
      <x:c r="P19" s="460"/>
      <x:c r="Q19" s="461">
        <x:f t="shared" si="15"/>
        <x:v>0</x:v>
      </x:c>
      <x:c r="R19" s="462"/>
      <x:c r="S19" s="463">
        <x:f t="shared" si="16"/>
        <x:v>0</x:v>
      </x:c>
      <x:c r="T19" s="162" t="str">
        <x:f t="shared" si="17"/>
        <x:v>X</x:v>
      </x:c>
      <x:c r="U19" s="220"/>
      <x:c r="V19" s="331"/>
      <x:c r="W19" s="221"/>
      <x:c r="X19" s="222"/>
      <x:c r="Y19" s="220"/>
      <x:c r="Z19" s="222"/>
      <x:c r="AA19" s="220"/>
      <x:c r="AC19" s="487">
        <x:f t="shared" si="18"/>
        <x:v>0</x:v>
      </x:c>
      <x:c r="AD19" s="487">
        <x:f t="shared" si="3"/>
        <x:v>0</x:v>
      </x:c>
      <x:c r="AE19" s="487">
        <x:f t="shared" si="4"/>
        <x:v>0</x:v>
      </x:c>
      <x:c r="AF19" s="374" t="str">
        <x:f t="shared" si="19"/>
        <x:v/>
      </x:c>
      <x:c r="AG19" s="165"/>
      <x:c r="AH19" s="487">
        <x:f t="shared" si="5"/>
        <x:v>0</x:v>
      </x:c>
      <x:c r="AI19" s="487">
        <x:f t="shared" si="6"/>
        <x:v>0</x:v>
      </x:c>
      <x:c r="AJ19" s="487">
        <x:f t="shared" si="7"/>
        <x:v>0</x:v>
      </x:c>
      <x:c r="AK19" s="374" t="str">
        <x:f t="shared" si="8"/>
        <x:v/>
      </x:c>
      <x:c r="AL19" s="8"/>
      <x:c r="AM19" s="533"/>
      <x:c r="AN19" s="374" t="str">
        <x:f>IF($AM19="","",IF($AM19="세입없음","OK",IF(COUNTIF('3. 일입'!$AN$8:$AN$2000,$AM19),"OK","@@")))</x:f>
        <x:v/>
      </x:c>
      <x:c r="AO19" s="356" t="str">
        <x:f t="shared" si="9"/>
        <x:v/>
      </x:c>
      <x:c r="AP19" s="374" t="str">
        <x:f t="shared" si="10"/>
        <x:v/>
      </x:c>
      <x:c r="AQ19" s="93"/>
      <x:c r="AR19" s="374" t="str">
        <x:f t="array" ref="AR19:AR19">IF(OR($D19="",$C19="직접입력",$B19="직접입력"),"",INDEX(구분표!$I$3:$I$321,MATCH(1,(구분표!$G$3:$G$321=$B19)*(구분표!$E$3:$E$321=$C19)*(구분표!$F$3:$F$321=$D19),0)))</x:f>
        <x:v/>
      </x:c>
      <x:c r="AS19" s="21"/>
    </x:row>
    <x:row r="20" spans="1:45" s="20" customFormat="1" ht="60" customHeight="1">
      <x:c r="A20" s="155" t="str">
        <x:f>IF(D20="","",COUNTA($C$7:C20)-COUNTBLANK($C$7:C20)+1)</x:f>
        <x:v/>
      </x:c>
      <x:c r="B20" s="156" t="str">
        <x: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x:f>
        <x:v/>
      </x:c>
      <x:c r="C20" s="156" t="str">
        <x:f>IF(D20="","",IF(OR(D20="교육지원과",D20="총무과",D20="인사과"),"직접입력",VLOOKUP(D20,구분표!$A$3:$C$258,3,)))</x:f>
        <x:v/>
      </x:c>
      <x:c r="D20" s="219"/>
      <x:c r="E20" s="213"/>
      <x:c r="F20" s="388" t="str">
        <x:f t="shared" si="11"/>
        <x:v/>
      </x:c>
      <x:c r="G20" s="388" t="str">
        <x:f t="shared" si="11"/>
        <x:v/>
      </x:c>
      <x:c r="H20" s="213"/>
      <x:c r="I20" s="156" t="str">
        <x:f>IF(H20="","",VLOOKUP($H20,구분표!$K$3:$M$151,2,FALSE))</x:f>
        <x:v/>
      </x:c>
      <x:c r="J20" s="156" t="str">
        <x:f>IF(I20="","",VLOOKUP($H20,구분표!$K$3:$M$151,3,FALSE))</x:f>
        <x:v/>
      </x:c>
      <x:c r="K20" s="233"/>
      <x:c r="L20" s="233"/>
      <x:c r="M20" s="459" t="str">
        <x:f t="shared" si="12"/>
        <x:v/>
      </x:c>
      <x:c r="N20" s="459" t="str">
        <x:f t="shared" si="13"/>
        <x:v/>
      </x:c>
      <x:c r="O20" s="461" t="str">
        <x:f t="shared" si="14"/>
        <x:v/>
      </x:c>
      <x:c r="P20" s="460"/>
      <x:c r="Q20" s="461">
        <x:f t="shared" si="15"/>
        <x:v>0</x:v>
      </x:c>
      <x:c r="R20" s="462"/>
      <x:c r="S20" s="463">
        <x:f t="shared" si="16"/>
        <x:v>0</x:v>
      </x:c>
      <x:c r="T20" s="162" t="str">
        <x:f t="shared" si="17"/>
        <x:v>X</x:v>
      </x:c>
      <x:c r="U20" s="220"/>
      <x:c r="V20" s="331"/>
      <x:c r="W20" s="221"/>
      <x:c r="X20" s="222"/>
      <x:c r="Y20" s="220"/>
      <x:c r="Z20" s="222"/>
      <x:c r="AA20" s="220"/>
      <x:c r="AC20" s="487">
        <x:f t="shared" si="18"/>
        <x:v>0</x:v>
      </x:c>
      <x:c r="AD20" s="487">
        <x:f t="shared" si="3"/>
        <x:v>0</x:v>
      </x:c>
      <x:c r="AE20" s="487">
        <x:f t="shared" si="4"/>
        <x:v>0</x:v>
      </x:c>
      <x:c r="AF20" s="374" t="str">
        <x:f t="shared" si="19"/>
        <x:v/>
      </x:c>
      <x:c r="AG20" s="165"/>
      <x:c r="AH20" s="487">
        <x:f t="shared" si="5"/>
        <x:v>0</x:v>
      </x:c>
      <x:c r="AI20" s="487">
        <x:f t="shared" si="6"/>
        <x:v>0</x:v>
      </x:c>
      <x:c r="AJ20" s="487">
        <x:f t="shared" si="7"/>
        <x:v>0</x:v>
      </x:c>
      <x:c r="AK20" s="374" t="str">
        <x:f t="shared" si="8"/>
        <x:v/>
      </x:c>
      <x:c r="AL20" s="8"/>
      <x:c r="AM20" s="533"/>
      <x:c r="AN20" s="374" t="str">
        <x:f>IF($AM20="","",IF($AM20="세입없음","OK",IF(COUNTIF('3. 일입'!$AN$8:$AN$2000,$AM20),"OK","@@")))</x:f>
        <x:v/>
      </x:c>
      <x:c r="AO20" s="356" t="str">
        <x:f t="shared" si="9"/>
        <x:v/>
      </x:c>
      <x:c r="AP20" s="374" t="str">
        <x:f t="shared" si="10"/>
        <x:v/>
      </x:c>
      <x:c r="AQ20" s="93"/>
      <x:c r="AR20" s="374" t="str">
        <x:f t="array" ref="AR20:AR20">IF(OR($D20="",$C20="직접입력",$B20="직접입력"),"",INDEX(구분표!$I$3:$I$321,MATCH(1,(구분표!$G$3:$G$321=$B20)*(구분표!$E$3:$E$321=$C20)*(구분표!$F$3:$F$321=$D20),0)))</x:f>
        <x:v/>
      </x:c>
      <x:c r="AS20" s="21"/>
    </x:row>
    <x:row r="21" spans="1:45" s="20" customFormat="1" ht="60" customHeight="1">
      <x:c r="A21" s="155" t="str">
        <x:f>IF(D21="","",COUNTA($C$7:C21)-COUNTBLANK($C$7:C21)+1)</x:f>
        <x:v/>
      </x:c>
      <x:c r="B21" s="156" t="str">
        <x: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x:f>
        <x:v/>
      </x:c>
      <x:c r="C21" s="156" t="str">
        <x:f>IF(D21="","",IF(OR(D21="교육지원과",D21="총무과",D21="인사과"),"직접입력",VLOOKUP(D21,구분표!$A$3:$C$258,3,)))</x:f>
        <x:v/>
      </x:c>
      <x:c r="D21" s="219"/>
      <x:c r="E21" s="213"/>
      <x:c r="F21" s="388" t="str">
        <x:f t="shared" si="11"/>
        <x:v/>
      </x:c>
      <x:c r="G21" s="388" t="str">
        <x:f t="shared" si="11"/>
        <x:v/>
      </x:c>
      <x:c r="H21" s="213"/>
      <x:c r="I21" s="156" t="str">
        <x:f>IF(H21="","",VLOOKUP($H21,구분표!$K$3:$M$151,2,FALSE))</x:f>
        <x:v/>
      </x:c>
      <x:c r="J21" s="156" t="str">
        <x:f>IF(I21="","",VLOOKUP($H21,구분표!$K$3:$M$151,3,FALSE))</x:f>
        <x:v/>
      </x:c>
      <x:c r="K21" s="233"/>
      <x:c r="L21" s="233"/>
      <x:c r="M21" s="459" t="str">
        <x:f t="shared" si="12"/>
        <x:v/>
      </x:c>
      <x:c r="N21" s="459" t="str">
        <x:f t="shared" si="13"/>
        <x:v/>
      </x:c>
      <x:c r="O21" s="461" t="str">
        <x:f t="shared" si="14"/>
        <x:v/>
      </x:c>
      <x:c r="P21" s="460"/>
      <x:c r="Q21" s="461">
        <x:f t="shared" si="15"/>
        <x:v>0</x:v>
      </x:c>
      <x:c r="R21" s="462"/>
      <x:c r="S21" s="463">
        <x:f t="shared" si="16"/>
        <x:v>0</x:v>
      </x:c>
      <x:c r="T21" s="162" t="str">
        <x:f t="shared" si="17"/>
        <x:v>X</x:v>
      </x:c>
      <x:c r="U21" s="220"/>
      <x:c r="V21" s="331"/>
      <x:c r="W21" s="221"/>
      <x:c r="X21" s="222"/>
      <x:c r="Y21" s="220"/>
      <x:c r="Z21" s="222"/>
      <x:c r="AA21" s="220"/>
      <x:c r="AC21" s="487">
        <x:f t="shared" si="18"/>
        <x:v>0</x:v>
      </x:c>
      <x:c r="AD21" s="487">
        <x:f t="shared" si="3"/>
        <x:v>0</x:v>
      </x:c>
      <x:c r="AE21" s="487">
        <x:f t="shared" si="4"/>
        <x:v>0</x:v>
      </x:c>
      <x:c r="AF21" s="374" t="str">
        <x:f t="shared" si="19"/>
        <x:v/>
      </x:c>
      <x:c r="AG21" s="165"/>
      <x:c r="AH21" s="487">
        <x:f t="shared" si="5"/>
        <x:v>0</x:v>
      </x:c>
      <x:c r="AI21" s="487">
        <x:f t="shared" si="6"/>
        <x:v>0</x:v>
      </x:c>
      <x:c r="AJ21" s="487">
        <x:f t="shared" si="7"/>
        <x:v>0</x:v>
      </x:c>
      <x:c r="AK21" s="374" t="str">
        <x:f t="shared" si="8"/>
        <x:v/>
      </x:c>
      <x:c r="AL21" s="8"/>
      <x:c r="AM21" s="533"/>
      <x:c r="AN21" s="374" t="str">
        <x:f>IF($AM21="","",IF($AM21="세입없음","OK",IF(COUNTIF('3. 일입'!$AN$8:$AN$2000,$AM21),"OK","@@")))</x:f>
        <x:v/>
      </x:c>
      <x:c r="AO21" s="356" t="str">
        <x:f t="shared" si="9"/>
        <x:v/>
      </x:c>
      <x:c r="AP21" s="374" t="str">
        <x:f t="shared" si="10"/>
        <x:v/>
      </x:c>
      <x:c r="AQ21" s="93"/>
      <x:c r="AR21" s="374" t="str">
        <x:f t="array" ref="AR21:AR21">IF(OR($D21="",$C21="직접입력",$B21="직접입력"),"",INDEX(구분표!$I$3:$I$321,MATCH(1,(구분표!$G$3:$G$321=$B21)*(구분표!$E$3:$E$321=$C21)*(구분표!$F$3:$F$321=$D21),0)))</x:f>
        <x:v/>
      </x:c>
      <x:c r="AS21" s="21"/>
    </x:row>
    <x:row r="22" spans="1:45" s="20" customFormat="1" ht="60" customHeight="1">
      <x:c r="A22" s="155" t="str">
        <x:f>IF(D22="","",COUNTA($C$7:C22)-COUNTBLANK($C$7:C22)+1)</x:f>
        <x:v/>
      </x:c>
      <x:c r="B22" s="156" t="str">
        <x: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x:f>
        <x:v/>
      </x:c>
      <x:c r="C22" s="156" t="str">
        <x:f>IF(D22="","",IF(OR(D22="교육지원과",D22="총무과",D22="인사과"),"직접입력",VLOOKUP(D22,구분표!$A$3:$C$258,3,)))</x:f>
        <x:v/>
      </x:c>
      <x:c r="D22" s="219"/>
      <x:c r="E22" s="213"/>
      <x:c r="F22" s="388" t="str">
        <x:f t="shared" si="11"/>
        <x:v/>
      </x:c>
      <x:c r="G22" s="388" t="str">
        <x:f t="shared" si="11"/>
        <x:v/>
      </x:c>
      <x:c r="H22" s="213"/>
      <x:c r="I22" s="156" t="str">
        <x:f>IF(H22="","",VLOOKUP($H22,구분표!$K$3:$M$151,2,FALSE))</x:f>
        <x:v/>
      </x:c>
      <x:c r="J22" s="156" t="str">
        <x:f>IF(I22="","",VLOOKUP($H22,구분표!$K$3:$M$151,3,FALSE))</x:f>
        <x:v/>
      </x:c>
      <x:c r="K22" s="233"/>
      <x:c r="L22" s="233"/>
      <x:c r="M22" s="459" t="str">
        <x:f t="shared" si="12"/>
        <x:v/>
      </x:c>
      <x:c r="N22" s="459" t="str">
        <x:f t="shared" si="13"/>
        <x:v/>
      </x:c>
      <x:c r="O22" s="461" t="str">
        <x:f t="shared" si="14"/>
        <x:v/>
      </x:c>
      <x:c r="P22" s="460"/>
      <x:c r="Q22" s="461">
        <x:f t="shared" si="15"/>
        <x:v>0</x:v>
      </x:c>
      <x:c r="R22" s="462"/>
      <x:c r="S22" s="463">
        <x:f t="shared" si="16"/>
        <x:v>0</x:v>
      </x:c>
      <x:c r="T22" s="162" t="str">
        <x:f t="shared" si="17"/>
        <x:v>X</x:v>
      </x:c>
      <x:c r="U22" s="220"/>
      <x:c r="V22" s="331"/>
      <x:c r="W22" s="221"/>
      <x:c r="X22" s="222"/>
      <x:c r="Y22" s="220"/>
      <x:c r="Z22" s="222"/>
      <x:c r="AA22" s="220"/>
      <x:c r="AC22" s="487">
        <x:f t="shared" si="18"/>
        <x:v>0</x:v>
      </x:c>
      <x:c r="AD22" s="487">
        <x:f t="shared" si="3"/>
        <x:v>0</x:v>
      </x:c>
      <x:c r="AE22" s="487">
        <x:f t="shared" si="4"/>
        <x:v>0</x:v>
      </x:c>
      <x:c r="AF22" s="374" t="str">
        <x:f t="shared" si="19"/>
        <x:v/>
      </x:c>
      <x:c r="AG22" s="165"/>
      <x:c r="AH22" s="487">
        <x:f t="shared" si="5"/>
        <x:v>0</x:v>
      </x:c>
      <x:c r="AI22" s="487">
        <x:f t="shared" si="6"/>
        <x:v>0</x:v>
      </x:c>
      <x:c r="AJ22" s="487">
        <x:f t="shared" si="7"/>
        <x:v>0</x:v>
      </x:c>
      <x:c r="AK22" s="374" t="str">
        <x:f t="shared" si="8"/>
        <x:v/>
      </x:c>
      <x:c r="AL22" s="8"/>
      <x:c r="AM22" s="533"/>
      <x:c r="AN22" s="374" t="str">
        <x:f>IF($AM22="","",IF($AM22="세입없음","OK",IF(COUNTIF('3. 일입'!$AN$8:$AN$2000,$AM22),"OK","@@")))</x:f>
        <x:v/>
      </x:c>
      <x:c r="AO22" s="356" t="str">
        <x:f t="shared" si="9"/>
        <x:v/>
      </x:c>
      <x:c r="AP22" s="374" t="str">
        <x:f t="shared" si="10"/>
        <x:v/>
      </x:c>
      <x:c r="AQ22" s="93"/>
      <x:c r="AR22" s="374" t="str">
        <x:f t="array" ref="AR22:AR22">IF(OR($D22="",$C22="직접입력",$B22="직접입력"),"",INDEX(구분표!$I$3:$I$321,MATCH(1,(구분표!$G$3:$G$321=$B22)*(구분표!$E$3:$E$321=$C22)*(구분표!$F$3:$F$321=$D22),0)))</x:f>
        <x:v/>
      </x:c>
      <x:c r="AS22" s="21"/>
    </x:row>
    <x:row r="23" spans="1:45" s="336" customFormat="1" ht="60" customHeight="1">
      <x:c r="A23" s="335"/>
      <x:c r="B23" s="982" t="s">
        <x:v>1524</x:v>
      </x:c>
      <x:c r="C23" s="983"/>
      <x:c r="D23" s="983"/>
      <x:c r="E23" s="983"/>
      <x:c r="F23" s="983"/>
      <x:c r="G23" s="984"/>
      <x:c r="H23" s="243"/>
      <x:c r="I23" s="243"/>
      <x:c r="J23" s="163"/>
      <x:c r="K23" s="418"/>
      <x:c r="L23" s="419" t="str">
        <x:f>SUBTOTAL(3,L24:L38)&amp;"건"</x:f>
        <x:v>0건</x:v>
      </x:c>
      <x:c r="M23" s="476">
        <x:f t="shared" ref="M23:N23" si="20">SUBTOTAL(9,M24:M38)</x:f>
        <x:v>0</x:v>
      </x:c>
      <x:c r="N23" s="476">
        <x:f t="shared" si="20"/>
        <x:v>0</x:v>
      </x:c>
      <x:c r="O23" s="476">
        <x:f t="shared" ref="O23:S23" si="21">SUBTOTAL(9,O24:O38)</x:f>
        <x:v>0</x:v>
      </x:c>
      <x:c r="P23" s="476">
        <x:f t="shared" si="21"/>
        <x:v>0</x:v>
      </x:c>
      <x:c r="Q23" s="476">
        <x:f t="shared" si="21"/>
        <x:v>0</x:v>
      </x:c>
      <x:c r="R23" s="476">
        <x:f t="shared" si="21"/>
        <x:v>0</x:v>
      </x:c>
      <x:c r="S23" s="476">
        <x:f t="shared" si="21"/>
        <x:v>0</x:v>
      </x:c>
      <x:c r="T23" s="416"/>
      <x:c r="U23" s="420"/>
      <x:c r="V23" s="420"/>
      <x:c r="W23" s="186"/>
      <x:c r="X23" s="186"/>
      <x:c r="Y23" s="186"/>
      <x:c r="Z23" s="187"/>
      <x:c r="AA23" s="186"/>
      <x:c r="AC23" s="481">
        <x:f>SUBTOTAL(9,AC24:AC38)</x:f>
        <x:v>0</x:v>
      </x:c>
      <x:c r="AD23" s="481">
        <x:f>SUBTOTAL(9,AD24:AD38)</x:f>
        <x:v>0</x:v>
      </x:c>
      <x:c r="AE23" s="481">
        <x:f>SUBTOTAL(9,AE24:AE38)</x:f>
        <x:v>0</x:v>
      </x:c>
      <x:c r="AF23" s="554" t="str">
        <x:f>IF(COUNTIF(AF24:AF38,"@@")&gt;0,"@@","OK")</x:f>
        <x:v>OK</x:v>
      </x:c>
      <x:c r="AG23" s="165"/>
      <x:c r="AH23" s="481">
        <x:f>SUBTOTAL(9,AH24:AH38)</x:f>
        <x:v>0</x:v>
      </x:c>
      <x:c r="AI23" s="481">
        <x:f>SUBTOTAL(9,AI24:AI38)</x:f>
        <x:v>0</x:v>
      </x:c>
      <x:c r="AJ23" s="481">
        <x:f>SUBTOTAL(9,AJ24:AJ38)</x:f>
        <x:v>0</x:v>
      </x:c>
      <x:c r="AK23" s="554" t="str">
        <x:f>IF(COUNTIF(AK24:AK38,"@@")&gt;0,"@@","OK")</x:f>
        <x:v>OK</x:v>
      </x:c>
      <x:c r="AL23" s="165"/>
      <x:c r="AM23" s="422"/>
      <x:c r="AN23" s="554" t="str">
        <x:f>IF(COUNTIF(AN24:AN38,"@@")&gt;0,"@@","OK")</x:f>
        <x:v>OK</x:v>
      </x:c>
      <x:c r="AO23" s="422"/>
      <x:c r="AP23" s="554" t="str">
        <x:f>IF(COUNTIF(AP24:AP38,"@@")&gt;0,"@@","OK")</x:f>
        <x:v>OK</x:v>
      </x:c>
      <x:c r="AQ23" s="164"/>
      <x:c r="AR23" s="422"/>
      <x:c r="AS23" s="21"/>
    </x:row>
    <x:row r="24" spans="1:45" s="20" customFormat="1" ht="60" customHeight="1">
      <x:c r="A24" s="155" t="str">
        <x:f>IF(D24="","",COUNTA($C$7:C24)-COUNTBLANK($C$7:C24)+2)</x:f>
        <x:v/>
      </x:c>
      <x:c r="B24" s="156" t="str">
        <x: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x:f>
        <x:v/>
      </x:c>
      <x:c r="C24" s="156" t="str">
        <x:f>IF(D24="","",IF(OR(D24="교육지원과",D24="총무과",D24="인사과"),"직접입력",VLOOKUP(D24,구분표!$A$3:$C$258,3,)))</x:f>
        <x:v/>
      </x:c>
      <x:c r="D24" s="219"/>
      <x:c r="E24" s="213"/>
      <x:c r="F24" s="388" t="str">
        <x:f>IF($E24="","",IF($E24="2추","직접입력","-"))</x:f>
        <x:v/>
      </x:c>
      <x:c r="G24" s="388" t="str">
        <x:f>IF($E24="","",IF($E24="2추","직접입력","-"))</x:f>
        <x:v/>
      </x:c>
      <x:c r="H24" s="213"/>
      <x:c r="I24" s="156" t="str">
        <x:f>IF(H24="","",VLOOKUP($H24,구분표!$K$3:$M$151,2,FALSE))</x:f>
        <x:v/>
      </x:c>
      <x:c r="J24" s="156" t="str">
        <x:f>IF(I24="","",VLOOKUP($H24,구분표!$K$3:$M$151,3,FALSE))</x:f>
        <x:v/>
      </x:c>
      <x:c r="K24" s="233"/>
      <x:c r="L24" s="233"/>
      <x:c r="M24" s="459" t="str">
        <x:f>IF($E24="","",IF(OR($E24="2추",$E24="1추",$E24="본예산"),"금액입력","-"))</x:f>
        <x:v/>
      </x:c>
      <x:c r="N24" s="459" t="str">
        <x:f>IF($E24="","",IF($E24="2추","금액입력","-"))</x:f>
        <x:v/>
      </x:c>
      <x:c r="O24" s="461" t="str">
        <x:f t="shared" ref="O24:O38" si="22">IF($E24="","",SUM(M24:N24))</x:f>
        <x:v/>
      </x:c>
      <x:c r="P24" s="460"/>
      <x:c r="Q24" s="461">
        <x:f t="shared" ref="Q24:Q38" si="23">SUM(O24:P24)</x:f>
        <x:v>0</x:v>
      </x:c>
      <x:c r="R24" s="462"/>
      <x:c r="S24" s="463">
        <x:f t="shared" ref="S24:S38" si="24">SUM(O24,R24)</x:f>
        <x:v>0</x:v>
      </x:c>
      <x:c r="T24" s="162" t="str">
        <x:f t="shared" ref="T24:T38" si="25">IF(AND((Q24=0),(S24&gt;0)),"O",IF(AND((P24&lt;0),(Q24-S24&lt;0)),"O","X"))</x:f>
        <x:v>X</x:v>
      </x:c>
      <x:c r="U24" s="220"/>
      <x:c r="V24" s="331"/>
      <x:c r="W24" s="221"/>
      <x:c r="X24" s="222"/>
      <x:c r="Y24" s="220"/>
      <x:c r="Z24" s="222"/>
      <x:c r="AA24" s="220"/>
      <x:c r="AC24" s="487">
        <x:f t="shared" ref="AC24:AC38" si="26">IF($P24="",0,IF(AND(ISNUMBER(AD24),ISNUMBER(AE24)),$P24-$AD24-$AE24,0))</x:f>
        <x:v>0</x:v>
      </x:c>
      <x:c r="AD24" s="487">
        <x:f t="shared" si="3"/>
        <x:v>0</x:v>
      </x:c>
      <x:c r="AE24" s="487">
        <x:f t="shared" si="4"/>
        <x:v>0</x:v>
      </x:c>
      <x:c r="AF24" s="374" t="str">
        <x:f t="shared" ref="AF24:AF38" si="27">IF($P24="",IF(SUM($AC24:$AE24)=0,"","@@"),IF(AND($P24=SUM($AC24:$AE24),Q24&gt;=0),"OK","@@"))</x:f>
        <x:v/>
      </x:c>
      <x:c r="AG24" s="165"/>
      <x:c r="AH24" s="487">
        <x:f t="shared" si="5"/>
        <x:v>0</x:v>
      </x:c>
      <x:c r="AI24" s="487">
        <x:f t="shared" si="6"/>
        <x:v>0</x:v>
      </x:c>
      <x:c r="AJ24" s="487">
        <x:f t="shared" si="7"/>
        <x:v>0</x:v>
      </x:c>
      <x:c r="AK24" s="374" t="str">
        <x:f t="shared" si="8"/>
        <x:v/>
      </x:c>
      <x:c r="AL24" s="8"/>
      <x:c r="AM24" s="533"/>
      <x:c r="AN24" s="374" t="str">
        <x:f>IF($AM24="","",IF($AM24="세입없음","OK",IF(COUNTIF('3. 일입'!$AN$8:$AN$2000,$AM24),"OK","@@")))</x:f>
        <x:v/>
      </x:c>
      <x:c r="AO24" s="356" t="str">
        <x:f t="shared" si="9"/>
        <x:v/>
      </x:c>
      <x:c r="AP24" s="374" t="str">
        <x:f t="shared" si="10"/>
        <x:v/>
      </x:c>
      <x:c r="AQ24" s="93"/>
      <x:c r="AR24" s="374" t="str">
        <x:f t="array" ref="AR24:AR24">IF(OR($D24="",$C24="직접입력",$B24="직접입력"),"",INDEX(구분표!$I$3:$I$321,MATCH(1,(구분표!$G$3:$G$321=$B24)*(구분표!$E$3:$E$321=$C24)*(구분표!$F$3:$F$321=$D24),0)))</x:f>
        <x:v/>
      </x:c>
      <x:c r="AS24" s="21"/>
    </x:row>
    <x:row r="25" spans="1:45" s="20" customFormat="1" ht="60" customHeight="1">
      <x:c r="A25" s="155" t="str">
        <x:f>IF(D25="","",COUNTA($C$7:C25)-COUNTBLANK($C$7:C25)+2)</x:f>
        <x:v/>
      </x:c>
      <x:c r="B25" s="156" t="str">
        <x: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x:f>
        <x:v/>
      </x:c>
      <x:c r="C25" s="156" t="str">
        <x:f>IF(D25="","",IF(OR(D25="교육지원과",D25="총무과",D25="인사과"),"직접입력",VLOOKUP(D25,구분표!$A$3:$C$258,3,)))</x:f>
        <x:v/>
      </x:c>
      <x:c r="D25" s="219"/>
      <x:c r="E25" s="213"/>
      <x:c r="F25" s="388" t="str">
        <x:f t="shared" ref="F25:G38" si="28">IF($E25="","",IF($E25="2추","직접입력","-"))</x:f>
        <x:v/>
      </x:c>
      <x:c r="G25" s="388" t="str">
        <x:f t="shared" si="28"/>
        <x:v/>
      </x:c>
      <x:c r="H25" s="213"/>
      <x:c r="I25" s="156" t="str">
        <x:f>IF(H25="","",VLOOKUP($H25,구분표!$K$3:$M$151,2,FALSE))</x:f>
        <x:v/>
      </x:c>
      <x:c r="J25" s="156" t="str">
        <x:f>IF(I25="","",VLOOKUP($H25,구분표!$K$3:$M$151,3,FALSE))</x:f>
        <x:v/>
      </x:c>
      <x:c r="K25" s="233"/>
      <x:c r="L25" s="233"/>
      <x:c r="M25" s="459" t="str">
        <x:f t="shared" ref="M25:M38" si="29">IF($E25="","",IF(OR($E25="2추",$E25="1추",$E25="본예산"),"금액입력","-"))</x:f>
        <x:v/>
      </x:c>
      <x:c r="N25" s="459" t="str">
        <x:f t="shared" ref="N25:N38" si="30">IF($E25="","",IF($E25="2추","금액입력","-"))</x:f>
        <x:v/>
      </x:c>
      <x:c r="O25" s="461" t="str">
        <x:f t="shared" si="22"/>
        <x:v/>
      </x:c>
      <x:c r="P25" s="460"/>
      <x:c r="Q25" s="461">
        <x:f t="shared" si="23"/>
        <x:v>0</x:v>
      </x:c>
      <x:c r="R25" s="462"/>
      <x:c r="S25" s="463">
        <x:f t="shared" si="24"/>
        <x:v>0</x:v>
      </x:c>
      <x:c r="T25" s="162" t="str">
        <x:f t="shared" si="25"/>
        <x:v>X</x:v>
      </x:c>
      <x:c r="U25" s="220"/>
      <x:c r="V25" s="331"/>
      <x:c r="W25" s="221"/>
      <x:c r="X25" s="222"/>
      <x:c r="Y25" s="220"/>
      <x:c r="Z25" s="222"/>
      <x:c r="AA25" s="220"/>
      <x:c r="AC25" s="487">
        <x:f t="shared" si="26"/>
        <x:v>0</x:v>
      </x:c>
      <x:c r="AD25" s="487">
        <x:f t="shared" si="3"/>
        <x:v>0</x:v>
      </x:c>
      <x:c r="AE25" s="487">
        <x:f t="shared" si="4"/>
        <x:v>0</x:v>
      </x:c>
      <x:c r="AF25" s="374" t="str">
        <x:f t="shared" si="27"/>
        <x:v/>
      </x:c>
      <x:c r="AG25" s="165"/>
      <x:c r="AH25" s="487">
        <x:f t="shared" si="5"/>
        <x:v>0</x:v>
      </x:c>
      <x:c r="AI25" s="487">
        <x:f t="shared" si="6"/>
        <x:v>0</x:v>
      </x:c>
      <x:c r="AJ25" s="487">
        <x:f t="shared" si="7"/>
        <x:v>0</x:v>
      </x:c>
      <x:c r="AK25" s="374" t="str">
        <x:f t="shared" si="8"/>
        <x:v/>
      </x:c>
      <x:c r="AL25" s="8"/>
      <x:c r="AM25" s="533"/>
      <x:c r="AN25" s="374" t="str">
        <x:f>IF($AM25="","",IF($AM25="세입없음","OK",IF(COUNTIF('3. 일입'!$AN$8:$AN$2000,$AM25),"OK","@@")))</x:f>
        <x:v/>
      </x:c>
      <x:c r="AO25" s="356" t="str">
        <x:f t="shared" si="9"/>
        <x:v/>
      </x:c>
      <x:c r="AP25" s="374" t="str">
        <x:f t="shared" si="10"/>
        <x:v/>
      </x:c>
      <x:c r="AQ25" s="93"/>
      <x:c r="AR25" s="374" t="str">
        <x:f t="array" ref="AR25:AR25">IF(OR($D25="",$C25="직접입력",$B25="직접입력"),"",INDEX(구분표!$I$3:$I$321,MATCH(1,(구분표!$G$3:$G$321=$B25)*(구분표!$E$3:$E$321=$C25)*(구분표!$F$3:$F$321=$D25),0)))</x:f>
        <x:v/>
      </x:c>
      <x:c r="AS25" s="21"/>
    </x:row>
    <x:row r="26" spans="1:45" s="20" customFormat="1" ht="60" customHeight="1">
      <x:c r="A26" s="155" t="str">
        <x:f>IF(D26="","",COUNTA($C$7:C26)-COUNTBLANK($C$7:C26)+2)</x:f>
        <x:v/>
      </x:c>
      <x:c r="B26" s="156" t="str">
        <x: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x:f>
        <x:v/>
      </x:c>
      <x:c r="C26" s="156" t="str">
        <x:f>IF(D26="","",IF(OR(D26="교육지원과",D26="총무과",D26="인사과"),"직접입력",VLOOKUP(D26,구분표!$A$3:$C$258,3,)))</x:f>
        <x:v/>
      </x:c>
      <x:c r="D26" s="219"/>
      <x:c r="E26" s="213"/>
      <x:c r="F26" s="388" t="str">
        <x:f t="shared" si="28"/>
        <x:v/>
      </x:c>
      <x:c r="G26" s="388" t="str">
        <x:f t="shared" si="28"/>
        <x:v/>
      </x:c>
      <x:c r="H26" s="213"/>
      <x:c r="I26" s="156" t="str">
        <x:f>IF(H26="","",VLOOKUP($H26,구분표!$K$3:$M$151,2,FALSE))</x:f>
        <x:v/>
      </x:c>
      <x:c r="J26" s="156" t="str">
        <x:f>IF(I26="","",VLOOKUP($H26,구분표!$K$3:$M$151,3,FALSE))</x:f>
        <x:v/>
      </x:c>
      <x:c r="K26" s="233"/>
      <x:c r="L26" s="233"/>
      <x:c r="M26" s="459" t="str">
        <x:f t="shared" si="29"/>
        <x:v/>
      </x:c>
      <x:c r="N26" s="459" t="str">
        <x:f t="shared" si="30"/>
        <x:v/>
      </x:c>
      <x:c r="O26" s="461" t="str">
        <x:f t="shared" si="22"/>
        <x:v/>
      </x:c>
      <x:c r="P26" s="460"/>
      <x:c r="Q26" s="461">
        <x:f t="shared" si="23"/>
        <x:v>0</x:v>
      </x:c>
      <x:c r="R26" s="462"/>
      <x:c r="S26" s="463">
        <x:f t="shared" si="24"/>
        <x:v>0</x:v>
      </x:c>
      <x:c r="T26" s="162" t="str">
        <x:f t="shared" si="25"/>
        <x:v>X</x:v>
      </x:c>
      <x:c r="U26" s="220"/>
      <x:c r="V26" s="331"/>
      <x:c r="W26" s="221"/>
      <x:c r="X26" s="222"/>
      <x:c r="Y26" s="220"/>
      <x:c r="Z26" s="222"/>
      <x:c r="AA26" s="220"/>
      <x:c r="AC26" s="487">
        <x:f t="shared" si="26"/>
        <x:v>0</x:v>
      </x:c>
      <x:c r="AD26" s="487">
        <x:f t="shared" si="3"/>
        <x:v>0</x:v>
      </x:c>
      <x:c r="AE26" s="487">
        <x:f t="shared" si="4"/>
        <x:v>0</x:v>
      </x:c>
      <x:c r="AF26" s="374" t="str">
        <x:f t="shared" si="27"/>
        <x:v/>
      </x:c>
      <x:c r="AG26" s="165"/>
      <x:c r="AH26" s="487">
        <x:f t="shared" si="5"/>
        <x:v>0</x:v>
      </x:c>
      <x:c r="AI26" s="487">
        <x:f t="shared" si="6"/>
        <x:v>0</x:v>
      </x:c>
      <x:c r="AJ26" s="487">
        <x:f t="shared" si="7"/>
        <x:v>0</x:v>
      </x:c>
      <x:c r="AK26" s="374" t="str">
        <x:f t="shared" si="8"/>
        <x:v/>
      </x:c>
      <x:c r="AL26" s="8"/>
      <x:c r="AM26" s="533"/>
      <x:c r="AN26" s="374" t="str">
        <x:f>IF($AM26="","",IF($AM26="세입없음","OK",IF(COUNTIF('3. 일입'!$AN$8:$AN$2000,$AM26),"OK","@@")))</x:f>
        <x:v/>
      </x:c>
      <x:c r="AO26" s="356" t="str">
        <x:f t="shared" si="9"/>
        <x:v/>
      </x:c>
      <x:c r="AP26" s="374" t="str">
        <x:f t="shared" si="10"/>
        <x:v/>
      </x:c>
      <x:c r="AQ26" s="93"/>
      <x:c r="AR26" s="374" t="str">
        <x:f t="array" ref="AR26:AR26">IF(OR($D26="",$C26="직접입력",$B26="직접입력"),"",INDEX(구분표!$I$3:$I$321,MATCH(1,(구분표!$G$3:$G$321=$B26)*(구분표!$E$3:$E$321=$C26)*(구분표!$F$3:$F$321=$D26),0)))</x:f>
        <x:v/>
      </x:c>
      <x:c r="AS26" s="21"/>
    </x:row>
    <x:row r="27" spans="1:45" s="20" customFormat="1" ht="60" customHeight="1">
      <x:c r="A27" s="155" t="str">
        <x:f>IF(D27="","",COUNTA($C$7:C27)-COUNTBLANK($C$7:C27)+2)</x:f>
        <x:v/>
      </x:c>
      <x:c r="B27" s="156" t="str">
        <x: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x:f>
        <x:v/>
      </x:c>
      <x:c r="C27" s="156" t="str">
        <x:f>IF(D27="","",IF(OR(D27="교육지원과",D27="총무과",D27="인사과"),"직접입력",VLOOKUP(D27,구분표!$A$3:$C$258,3,)))</x:f>
        <x:v/>
      </x:c>
      <x:c r="D27" s="219"/>
      <x:c r="E27" s="213"/>
      <x:c r="F27" s="388" t="str">
        <x:f t="shared" si="28"/>
        <x:v/>
      </x:c>
      <x:c r="G27" s="388" t="str">
        <x:f t="shared" si="28"/>
        <x:v/>
      </x:c>
      <x:c r="H27" s="213"/>
      <x:c r="I27" s="156" t="str">
        <x:f>IF(H27="","",VLOOKUP($H27,구분표!$K$3:$M$151,2,FALSE))</x:f>
        <x:v/>
      </x:c>
      <x:c r="J27" s="156" t="str">
        <x:f>IF(I27="","",VLOOKUP($H27,구분표!$K$3:$M$151,3,FALSE))</x:f>
        <x:v/>
      </x:c>
      <x:c r="K27" s="233"/>
      <x:c r="L27" s="233"/>
      <x:c r="M27" s="459" t="str">
        <x:f t="shared" si="29"/>
        <x:v/>
      </x:c>
      <x:c r="N27" s="459" t="str">
        <x:f t="shared" si="30"/>
        <x:v/>
      </x:c>
      <x:c r="O27" s="461" t="str">
        <x:f t="shared" si="22"/>
        <x:v/>
      </x:c>
      <x:c r="P27" s="460"/>
      <x:c r="Q27" s="461">
        <x:f t="shared" si="23"/>
        <x:v>0</x:v>
      </x:c>
      <x:c r="R27" s="462"/>
      <x:c r="S27" s="463">
        <x:f t="shared" si="24"/>
        <x:v>0</x:v>
      </x:c>
      <x:c r="T27" s="162" t="str">
        <x:f t="shared" si="25"/>
        <x:v>X</x:v>
      </x:c>
      <x:c r="U27" s="220"/>
      <x:c r="V27" s="331"/>
      <x:c r="W27" s="221"/>
      <x:c r="X27" s="222"/>
      <x:c r="Y27" s="220"/>
      <x:c r="Z27" s="222"/>
      <x:c r="AA27" s="220"/>
      <x:c r="AC27" s="487">
        <x:f t="shared" si="26"/>
        <x:v>0</x:v>
      </x:c>
      <x:c r="AD27" s="487">
        <x:f t="shared" si="3"/>
        <x:v>0</x:v>
      </x:c>
      <x:c r="AE27" s="487">
        <x:f t="shared" si="4"/>
        <x:v>0</x:v>
      </x:c>
      <x:c r="AF27" s="374" t="str">
        <x:f t="shared" si="27"/>
        <x:v/>
      </x:c>
      <x:c r="AG27" s="165"/>
      <x:c r="AH27" s="487">
        <x:f t="shared" si="5"/>
        <x:v>0</x:v>
      </x:c>
      <x:c r="AI27" s="487">
        <x:f t="shared" si="6"/>
        <x:v>0</x:v>
      </x:c>
      <x:c r="AJ27" s="487">
        <x:f t="shared" si="7"/>
        <x:v>0</x:v>
      </x:c>
      <x:c r="AK27" s="374" t="str">
        <x:f t="shared" si="8"/>
        <x:v/>
      </x:c>
      <x:c r="AL27" s="8"/>
      <x:c r="AM27" s="533"/>
      <x:c r="AN27" s="374" t="str">
        <x:f>IF($AM27="","",IF($AM27="세입없음","OK",IF(COUNTIF('3. 일입'!$AN$8:$AN$2000,$AM27),"OK","@@")))</x:f>
        <x:v/>
      </x:c>
      <x:c r="AO27" s="356" t="str">
        <x:f t="shared" si="9"/>
        <x:v/>
      </x:c>
      <x:c r="AP27" s="374" t="str">
        <x:f t="shared" si="10"/>
        <x:v/>
      </x:c>
      <x:c r="AQ27" s="93"/>
      <x:c r="AR27" s="374" t="str">
        <x:f t="array" ref="AR27:AR27">IF(OR($D27="",$C27="직접입력",$B27="직접입력"),"",INDEX(구분표!$I$3:$I$321,MATCH(1,(구분표!$G$3:$G$321=$B27)*(구분표!$E$3:$E$321=$C27)*(구분표!$F$3:$F$321=$D27),0)))</x:f>
        <x:v/>
      </x:c>
      <x:c r="AS27" s="21"/>
    </x:row>
    <x:row r="28" spans="1:45" s="157" customFormat="1" ht="60" customHeight="1">
      <x:c r="A28" s="155" t="str">
        <x:f>IF(D28="","",COUNTA($C$7:C28)-COUNTBLANK($C$7:C28)+2)</x:f>
        <x:v/>
      </x:c>
      <x:c r="B28" s="156" t="str">
        <x: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x:f>
        <x:v/>
      </x:c>
      <x:c r="C28" s="156" t="str">
        <x:f>IF(D28="","",IF(OR(D28="교육지원과",D28="총무과",D28="인사과"),"직접입력",VLOOKUP(D28,구분표!$A$3:$C$258,3,)))</x:f>
        <x:v/>
      </x:c>
      <x:c r="D28" s="219"/>
      <x:c r="E28" s="213"/>
      <x:c r="F28" s="388" t="str">
        <x:f t="shared" si="28"/>
        <x:v/>
      </x:c>
      <x:c r="G28" s="388" t="str">
        <x:f t="shared" si="28"/>
        <x:v/>
      </x:c>
      <x:c r="H28" s="213"/>
      <x:c r="I28" s="156" t="str">
        <x:f>IF(H28="","",VLOOKUP($H28,구분표!$K$3:$M$151,2,FALSE))</x:f>
        <x:v/>
      </x:c>
      <x:c r="J28" s="156" t="str">
        <x:f>IF(I28="","",VLOOKUP($H28,구분표!$K$3:$M$151,3,FALSE))</x:f>
        <x:v/>
      </x:c>
      <x:c r="K28" s="233"/>
      <x:c r="L28" s="233"/>
      <x:c r="M28" s="459" t="str">
        <x:f t="shared" si="29"/>
        <x:v/>
      </x:c>
      <x:c r="N28" s="459" t="str">
        <x:f t="shared" si="30"/>
        <x:v/>
      </x:c>
      <x:c r="O28" s="461" t="str">
        <x:f t="shared" si="22"/>
        <x:v/>
      </x:c>
      <x:c r="P28" s="460"/>
      <x:c r="Q28" s="461">
        <x:f t="shared" si="23"/>
        <x:v>0</x:v>
      </x:c>
      <x:c r="R28" s="462"/>
      <x:c r="S28" s="463">
        <x:f t="shared" si="24"/>
        <x:v>0</x:v>
      </x:c>
      <x:c r="T28" s="162" t="str">
        <x:f t="shared" si="25"/>
        <x:v>X</x:v>
      </x:c>
      <x:c r="U28" s="220"/>
      <x:c r="V28" s="331"/>
      <x:c r="W28" s="221"/>
      <x:c r="X28" s="222"/>
      <x:c r="Y28" s="220"/>
      <x:c r="Z28" s="222"/>
      <x:c r="AA28" s="220"/>
      <x:c r="AB28" s="20"/>
      <x:c r="AC28" s="487">
        <x:f t="shared" si="26"/>
        <x:v>0</x:v>
      </x:c>
      <x:c r="AD28" s="487">
        <x:f t="shared" si="3"/>
        <x:v>0</x:v>
      </x:c>
      <x:c r="AE28" s="487">
        <x:f t="shared" si="4"/>
        <x:v>0</x:v>
      </x:c>
      <x:c r="AF28" s="374" t="str">
        <x:f t="shared" si="27"/>
        <x:v/>
      </x:c>
      <x:c r="AG28" s="165"/>
      <x:c r="AH28" s="487">
        <x:f t="shared" si="5"/>
        <x:v>0</x:v>
      </x:c>
      <x:c r="AI28" s="487">
        <x:f t="shared" si="6"/>
        <x:v>0</x:v>
      </x:c>
      <x:c r="AJ28" s="487">
        <x:f t="shared" si="7"/>
        <x:v>0</x:v>
      </x:c>
      <x:c r="AK28" s="374" t="str">
        <x:f t="shared" si="8"/>
        <x:v/>
      </x:c>
      <x:c r="AL28" s="8"/>
      <x:c r="AM28" s="533"/>
      <x:c r="AN28" s="374" t="str">
        <x:f>IF($AM28="","",IF($AM28="세입없음","OK",IF(COUNTIF('3. 일입'!$AN$8:$AN$2000,$AM28),"OK","@@")))</x:f>
        <x:v/>
      </x:c>
      <x:c r="AO28" s="356" t="str">
        <x:f t="shared" si="9"/>
        <x:v/>
      </x:c>
      <x:c r="AP28" s="374" t="str">
        <x:f t="shared" si="10"/>
        <x:v/>
      </x:c>
      <x:c r="AQ28" s="93"/>
      <x:c r="AR28" s="374" t="str">
        <x:f t="array" ref="AR28:AR28">IF(OR($D28="",$C28="직접입력",$B28="직접입력"),"",INDEX(구분표!$I$3:$I$321,MATCH(1,(구분표!$G$3:$G$321=$B28)*(구분표!$E$3:$E$321=$C28)*(구분표!$F$3:$F$321=$D28),0)))</x:f>
        <x:v/>
      </x:c>
      <x:c r="AS28" s="21"/>
    </x:row>
    <x:row r="29" spans="1:45" s="20" customFormat="1" ht="60" customHeight="1">
      <x:c r="A29" s="155" t="str">
        <x:f>IF(D29="","",COUNTA($C$7:C29)-COUNTBLANK($C$7:C29)+2)</x:f>
        <x:v/>
      </x:c>
      <x:c r="B29" s="156" t="str">
        <x: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x:f>
        <x:v/>
      </x:c>
      <x:c r="C29" s="156" t="str">
        <x:f>IF(D29="","",IF(OR(D29="교육지원과",D29="총무과",D29="인사과"),"직접입력",VLOOKUP(D29,구분표!$A$3:$C$258,3,)))</x:f>
        <x:v/>
      </x:c>
      <x:c r="D29" s="219"/>
      <x:c r="E29" s="213"/>
      <x:c r="F29" s="388" t="str">
        <x:f t="shared" si="28"/>
        <x:v/>
      </x:c>
      <x:c r="G29" s="388" t="str">
        <x:f t="shared" si="28"/>
        <x:v/>
      </x:c>
      <x:c r="H29" s="213"/>
      <x:c r="I29" s="156" t="str">
        <x:f>IF(H29="","",VLOOKUP($H29,구분표!$K$3:$M$151,2,FALSE))</x:f>
        <x:v/>
      </x:c>
      <x:c r="J29" s="156" t="str">
        <x:f>IF(I29="","",VLOOKUP($H29,구분표!$K$3:$M$151,3,FALSE))</x:f>
        <x:v/>
      </x:c>
      <x:c r="K29" s="233"/>
      <x:c r="L29" s="233"/>
      <x:c r="M29" s="459" t="str">
        <x:f t="shared" si="29"/>
        <x:v/>
      </x:c>
      <x:c r="N29" s="459" t="str">
        <x:f t="shared" si="30"/>
        <x:v/>
      </x:c>
      <x:c r="O29" s="461" t="str">
        <x:f t="shared" si="22"/>
        <x:v/>
      </x:c>
      <x:c r="P29" s="460"/>
      <x:c r="Q29" s="461">
        <x:f t="shared" si="23"/>
        <x:v>0</x:v>
      </x:c>
      <x:c r="R29" s="462"/>
      <x:c r="S29" s="463">
        <x:f t="shared" si="24"/>
        <x:v>0</x:v>
      </x:c>
      <x:c r="T29" s="162" t="str">
        <x:f t="shared" si="25"/>
        <x:v>X</x:v>
      </x:c>
      <x:c r="U29" s="220"/>
      <x:c r="V29" s="331"/>
      <x:c r="W29" s="221"/>
      <x:c r="X29" s="222"/>
      <x:c r="Y29" s="220"/>
      <x:c r="Z29" s="222"/>
      <x:c r="AA29" s="220"/>
      <x:c r="AC29" s="487">
        <x:f t="shared" si="26"/>
        <x:v>0</x:v>
      </x:c>
      <x:c r="AD29" s="487">
        <x:f t="shared" si="3"/>
        <x:v>0</x:v>
      </x:c>
      <x:c r="AE29" s="487">
        <x:f t="shared" si="4"/>
        <x:v>0</x:v>
      </x:c>
      <x:c r="AF29" s="374" t="str">
        <x:f t="shared" si="27"/>
        <x:v/>
      </x:c>
      <x:c r="AG29" s="165"/>
      <x:c r="AH29" s="487">
        <x:f t="shared" si="5"/>
        <x:v>0</x:v>
      </x:c>
      <x:c r="AI29" s="487">
        <x:f t="shared" si="6"/>
        <x:v>0</x:v>
      </x:c>
      <x:c r="AJ29" s="487">
        <x:f t="shared" si="7"/>
        <x:v>0</x:v>
      </x:c>
      <x:c r="AK29" s="374" t="str">
        <x:f t="shared" si="8"/>
        <x:v/>
      </x:c>
      <x:c r="AL29" s="8"/>
      <x:c r="AM29" s="533"/>
      <x:c r="AN29" s="374" t="str">
        <x:f>IF($AM29="","",IF($AM29="세입없음","OK",IF(COUNTIF('3. 일입'!$AN$8:$AN$2000,$AM29),"OK","@@")))</x:f>
        <x:v/>
      </x:c>
      <x:c r="AO29" s="356" t="str">
        <x:f t="shared" si="9"/>
        <x:v/>
      </x:c>
      <x:c r="AP29" s="374" t="str">
        <x:f t="shared" si="10"/>
        <x:v/>
      </x:c>
      <x:c r="AQ29" s="93"/>
      <x:c r="AR29" s="374" t="str">
        <x:f t="array" ref="AR29:AR29">IF(OR($D29="",$C29="직접입력",$B29="직접입력"),"",INDEX(구분표!$I$3:$I$321,MATCH(1,(구분표!$G$3:$G$321=$B29)*(구분표!$E$3:$E$321=$C29)*(구분표!$F$3:$F$321=$D29),0)))</x:f>
        <x:v/>
      </x:c>
      <x:c r="AS29" s="21"/>
    </x:row>
    <x:row r="30" spans="1:45" s="20" customFormat="1" ht="60" customHeight="1">
      <x:c r="A30" s="155" t="str">
        <x:f>IF(D30="","",COUNTA($C$7:C30)-COUNTBLANK($C$7:C30)+2)</x:f>
        <x:v/>
      </x:c>
      <x:c r="B30" s="156" t="str">
        <x: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x:f>
        <x:v/>
      </x:c>
      <x:c r="C30" s="156" t="str">
        <x:f>IF(D30="","",IF(OR(D30="교육지원과",D30="총무과",D30="인사과"),"직접입력",VLOOKUP(D30,구분표!$A$3:$C$258,3,)))</x:f>
        <x:v/>
      </x:c>
      <x:c r="D30" s="219"/>
      <x:c r="E30" s="213"/>
      <x:c r="F30" s="388" t="str">
        <x:f t="shared" si="28"/>
        <x:v/>
      </x:c>
      <x:c r="G30" s="388" t="str">
        <x:f t="shared" si="28"/>
        <x:v/>
      </x:c>
      <x:c r="H30" s="213"/>
      <x:c r="I30" s="156" t="str">
        <x:f>IF(H30="","",VLOOKUP($H30,구분표!$K$3:$M$151,2,FALSE))</x:f>
        <x:v/>
      </x:c>
      <x:c r="J30" s="156" t="str">
        <x:f>IF(I30="","",VLOOKUP($H30,구분표!$K$3:$M$151,3,FALSE))</x:f>
        <x:v/>
      </x:c>
      <x:c r="K30" s="233"/>
      <x:c r="L30" s="233"/>
      <x:c r="M30" s="459" t="str">
        <x:f t="shared" si="29"/>
        <x:v/>
      </x:c>
      <x:c r="N30" s="459" t="str">
        <x:f t="shared" si="30"/>
        <x:v/>
      </x:c>
      <x:c r="O30" s="461" t="str">
        <x:f t="shared" si="22"/>
        <x:v/>
      </x:c>
      <x:c r="P30" s="460"/>
      <x:c r="Q30" s="461">
        <x:f t="shared" si="23"/>
        <x:v>0</x:v>
      </x:c>
      <x:c r="R30" s="462"/>
      <x:c r="S30" s="463">
        <x:f t="shared" si="24"/>
        <x:v>0</x:v>
      </x:c>
      <x:c r="T30" s="162" t="str">
        <x:f t="shared" si="25"/>
        <x:v>X</x:v>
      </x:c>
      <x:c r="U30" s="220"/>
      <x:c r="V30" s="331"/>
      <x:c r="W30" s="221"/>
      <x:c r="X30" s="222"/>
      <x:c r="Y30" s="220"/>
      <x:c r="Z30" s="222"/>
      <x:c r="AA30" s="220"/>
      <x:c r="AC30" s="487">
        <x:f t="shared" si="26"/>
        <x:v>0</x:v>
      </x:c>
      <x:c r="AD30" s="487">
        <x:f t="shared" si="3"/>
        <x:v>0</x:v>
      </x:c>
      <x:c r="AE30" s="487">
        <x:f t="shared" si="4"/>
        <x:v>0</x:v>
      </x:c>
      <x:c r="AF30" s="374" t="str">
        <x:f t="shared" si="27"/>
        <x:v/>
      </x:c>
      <x:c r="AG30" s="165"/>
      <x:c r="AH30" s="487">
        <x:f t="shared" si="5"/>
        <x:v>0</x:v>
      </x:c>
      <x:c r="AI30" s="487">
        <x:f t="shared" si="6"/>
        <x:v>0</x:v>
      </x:c>
      <x:c r="AJ30" s="487">
        <x:f t="shared" si="7"/>
        <x:v>0</x:v>
      </x:c>
      <x:c r="AK30" s="374" t="str">
        <x:f t="shared" si="8"/>
        <x:v/>
      </x:c>
      <x:c r="AL30" s="8"/>
      <x:c r="AM30" s="533"/>
      <x:c r="AN30" s="374" t="str">
        <x:f>IF($AM30="","",IF($AM30="세입없음","OK",IF(COUNTIF('3. 일입'!$AN$8:$AN$2000,$AM30),"OK","@@")))</x:f>
        <x:v/>
      </x:c>
      <x:c r="AO30" s="356" t="str">
        <x:f t="shared" si="9"/>
        <x:v/>
      </x:c>
      <x:c r="AP30" s="374" t="str">
        <x:f t="shared" si="10"/>
        <x:v/>
      </x:c>
      <x:c r="AQ30" s="93"/>
      <x:c r="AR30" s="374" t="str">
        <x:f t="array" ref="AR30:AR30">IF(OR($D30="",$C30="직접입력",$B30="직접입력"),"",INDEX(구분표!$I$3:$I$321,MATCH(1,(구분표!$G$3:$G$321=$B30)*(구분표!$E$3:$E$321=$C30)*(구분표!$F$3:$F$321=$D30),0)))</x:f>
        <x:v/>
      </x:c>
      <x:c r="AS30" s="21"/>
    </x:row>
    <x:row r="31" spans="1:45" s="20" customFormat="1" ht="60" customHeight="1">
      <x:c r="A31" s="155" t="str">
        <x:f>IF(D31="","",COUNTA($C$7:C31)-COUNTBLANK($C$7:C31)+2)</x:f>
        <x:v/>
      </x:c>
      <x:c r="B31" s="156" t="str">
        <x: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x:f>
        <x:v/>
      </x:c>
      <x:c r="C31" s="156" t="str">
        <x:f>IF(D31="","",IF(OR(D31="교육지원과",D31="총무과",D31="인사과"),"직접입력",VLOOKUP(D31,구분표!$A$3:$C$258,3,)))</x:f>
        <x:v/>
      </x:c>
      <x:c r="D31" s="219"/>
      <x:c r="E31" s="213"/>
      <x:c r="F31" s="388" t="str">
        <x:f t="shared" si="28"/>
        <x:v/>
      </x:c>
      <x:c r="G31" s="388" t="str">
        <x:f t="shared" si="28"/>
        <x:v/>
      </x:c>
      <x:c r="H31" s="213"/>
      <x:c r="I31" s="156" t="str">
        <x:f>IF(H31="","",VLOOKUP($H31,구분표!$K$3:$M$151,2,FALSE))</x:f>
        <x:v/>
      </x:c>
      <x:c r="J31" s="156" t="str">
        <x:f>IF(I31="","",VLOOKUP($H31,구분표!$K$3:$M$151,3,FALSE))</x:f>
        <x:v/>
      </x:c>
      <x:c r="K31" s="233"/>
      <x:c r="L31" s="233"/>
      <x:c r="M31" s="459" t="str">
        <x:f t="shared" si="29"/>
        <x:v/>
      </x:c>
      <x:c r="N31" s="459" t="str">
        <x:f t="shared" si="30"/>
        <x:v/>
      </x:c>
      <x:c r="O31" s="461" t="str">
        <x:f t="shared" si="22"/>
        <x:v/>
      </x:c>
      <x:c r="P31" s="460"/>
      <x:c r="Q31" s="461">
        <x:f t="shared" si="23"/>
        <x:v>0</x:v>
      </x:c>
      <x:c r="R31" s="462"/>
      <x:c r="S31" s="463">
        <x:f t="shared" si="24"/>
        <x:v>0</x:v>
      </x:c>
      <x:c r="T31" s="162" t="str">
        <x:f t="shared" si="25"/>
        <x:v>X</x:v>
      </x:c>
      <x:c r="U31" s="220"/>
      <x:c r="V31" s="331"/>
      <x:c r="W31" s="221"/>
      <x:c r="X31" s="222"/>
      <x:c r="Y31" s="220"/>
      <x:c r="Z31" s="222"/>
      <x:c r="AA31" s="220"/>
      <x:c r="AC31" s="487">
        <x:f t="shared" si="26"/>
        <x:v>0</x:v>
      </x:c>
      <x:c r="AD31" s="487">
        <x:f t="shared" si="3"/>
        <x:v>0</x:v>
      </x:c>
      <x:c r="AE31" s="487">
        <x:f t="shared" si="4"/>
        <x:v>0</x:v>
      </x:c>
      <x:c r="AF31" s="374" t="str">
        <x:f t="shared" si="27"/>
        <x:v/>
      </x:c>
      <x:c r="AG31" s="165"/>
      <x:c r="AH31" s="487">
        <x:f t="shared" si="5"/>
        <x:v>0</x:v>
      </x:c>
      <x:c r="AI31" s="487">
        <x:f t="shared" si="6"/>
        <x:v>0</x:v>
      </x:c>
      <x:c r="AJ31" s="487">
        <x:f t="shared" si="7"/>
        <x:v>0</x:v>
      </x:c>
      <x:c r="AK31" s="374" t="str">
        <x:f t="shared" si="8"/>
        <x:v/>
      </x:c>
      <x:c r="AL31" s="8"/>
      <x:c r="AM31" s="533"/>
      <x:c r="AN31" s="374" t="str">
        <x:f>IF($AM31="","",IF($AM31="세입없음","OK",IF(COUNTIF('3. 일입'!$AN$8:$AN$2000,$AM31),"OK","@@")))</x:f>
        <x:v/>
      </x:c>
      <x:c r="AO31" s="356" t="str">
        <x:f t="shared" si="9"/>
        <x:v/>
      </x:c>
      <x:c r="AP31" s="374" t="str">
        <x:f t="shared" si="10"/>
        <x:v/>
      </x:c>
      <x:c r="AQ31" s="93"/>
      <x:c r="AR31" s="374" t="str">
        <x:f t="array" ref="AR31:AR31">IF(OR($D31="",$C31="직접입력",$B31="직접입력"),"",INDEX(구분표!$I$3:$I$321,MATCH(1,(구분표!$G$3:$G$321=$B31)*(구분표!$E$3:$E$321=$C31)*(구분표!$F$3:$F$321=$D31),0)))</x:f>
        <x:v/>
      </x:c>
      <x:c r="AS31" s="21"/>
    </x:row>
    <x:row r="32" spans="1:45" s="20" customFormat="1" ht="60" customHeight="1">
      <x:c r="A32" s="155" t="str">
        <x:f>IF(D32="","",COUNTA($C$7:C32)-COUNTBLANK($C$7:C32)+2)</x:f>
        <x:v/>
      </x:c>
      <x:c r="B32" s="156" t="str">
        <x: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x:f>
        <x:v/>
      </x:c>
      <x:c r="C32" s="156" t="str">
        <x:f>IF(D32="","",IF(OR(D32="교육지원과",D32="총무과",D32="인사과"),"직접입력",VLOOKUP(D32,구분표!$A$3:$C$258,3,)))</x:f>
        <x:v/>
      </x:c>
      <x:c r="D32" s="219"/>
      <x:c r="E32" s="213"/>
      <x:c r="F32" s="388" t="str">
        <x:f t="shared" si="28"/>
        <x:v/>
      </x:c>
      <x:c r="G32" s="388" t="str">
        <x:f t="shared" si="28"/>
        <x:v/>
      </x:c>
      <x:c r="H32" s="213"/>
      <x:c r="I32" s="156" t="str">
        <x:f>IF(H32="","",VLOOKUP($H32,구분표!$K$3:$M$151,2,FALSE))</x:f>
        <x:v/>
      </x:c>
      <x:c r="J32" s="156" t="str">
        <x:f>IF(I32="","",VLOOKUP($H32,구분표!$K$3:$M$151,3,FALSE))</x:f>
        <x:v/>
      </x:c>
      <x:c r="K32" s="233"/>
      <x:c r="L32" s="233"/>
      <x:c r="M32" s="459" t="str">
        <x:f t="shared" si="29"/>
        <x:v/>
      </x:c>
      <x:c r="N32" s="459" t="str">
        <x:f t="shared" si="30"/>
        <x:v/>
      </x:c>
      <x:c r="O32" s="461" t="str">
        <x:f t="shared" si="22"/>
        <x:v/>
      </x:c>
      <x:c r="P32" s="460"/>
      <x:c r="Q32" s="461">
        <x:f t="shared" si="23"/>
        <x:v>0</x:v>
      </x:c>
      <x:c r="R32" s="462"/>
      <x:c r="S32" s="463">
        <x:f t="shared" si="24"/>
        <x:v>0</x:v>
      </x:c>
      <x:c r="T32" s="162" t="str">
        <x:f t="shared" si="25"/>
        <x:v>X</x:v>
      </x:c>
      <x:c r="U32" s="220"/>
      <x:c r="V32" s="331"/>
      <x:c r="W32" s="221"/>
      <x:c r="X32" s="222"/>
      <x:c r="Y32" s="220"/>
      <x:c r="Z32" s="222"/>
      <x:c r="AA32" s="220"/>
      <x:c r="AC32" s="487">
        <x:f t="shared" si="26"/>
        <x:v>0</x:v>
      </x:c>
      <x:c r="AD32" s="487">
        <x:f t="shared" si="3"/>
        <x:v>0</x:v>
      </x:c>
      <x:c r="AE32" s="487">
        <x:f t="shared" si="4"/>
        <x:v>0</x:v>
      </x:c>
      <x:c r="AF32" s="374" t="str">
        <x:f t="shared" si="27"/>
        <x:v/>
      </x:c>
      <x:c r="AG32" s="165"/>
      <x:c r="AH32" s="487">
        <x:f t="shared" si="5"/>
        <x:v>0</x:v>
      </x:c>
      <x:c r="AI32" s="487">
        <x:f t="shared" si="6"/>
        <x:v>0</x:v>
      </x:c>
      <x:c r="AJ32" s="487">
        <x:f t="shared" si="7"/>
        <x:v>0</x:v>
      </x:c>
      <x:c r="AK32" s="374" t="str">
        <x:f t="shared" si="8"/>
        <x:v/>
      </x:c>
      <x:c r="AL32" s="8"/>
      <x:c r="AM32" s="533"/>
      <x:c r="AN32" s="374" t="str">
        <x:f>IF($AM32="","",IF($AM32="세입없음","OK",IF(COUNTIF('3. 일입'!$AN$8:$AN$2000,$AM32),"OK","@@")))</x:f>
        <x:v/>
      </x:c>
      <x:c r="AO32" s="356" t="str">
        <x:f t="shared" si="9"/>
        <x:v/>
      </x:c>
      <x:c r="AP32" s="374" t="str">
        <x:f t="shared" si="10"/>
        <x:v/>
      </x:c>
      <x:c r="AQ32" s="93"/>
      <x:c r="AR32" s="374" t="str">
        <x:f t="array" ref="AR32:AR32">IF(OR($D32="",$C32="직접입력",$B32="직접입력"),"",INDEX(구분표!$I$3:$I$321,MATCH(1,(구분표!$G$3:$G$321=$B32)*(구분표!$E$3:$E$321=$C32)*(구분표!$F$3:$F$321=$D32),0)))</x:f>
        <x:v/>
      </x:c>
      <x:c r="AS32" s="21"/>
    </x:row>
    <x:row r="33" spans="1:45" s="20" customFormat="1" ht="60" customHeight="1">
      <x:c r="A33" s="155" t="str">
        <x:f>IF(D33="","",COUNTA($C$7:C33)-COUNTBLANK($C$7:C33)+2)</x:f>
        <x:v/>
      </x:c>
      <x:c r="B33" s="156" t="str">
        <x: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x:f>
        <x:v/>
      </x:c>
      <x:c r="C33" s="156" t="str">
        <x:f>IF(D33="","",IF(OR(D33="교육지원과",D33="총무과",D33="인사과"),"직접입력",VLOOKUP(D33,구분표!$A$3:$C$258,3,)))</x:f>
        <x:v/>
      </x:c>
      <x:c r="D33" s="219"/>
      <x:c r="E33" s="213"/>
      <x:c r="F33" s="388" t="str">
        <x:f t="shared" si="28"/>
        <x:v/>
      </x:c>
      <x:c r="G33" s="388" t="str">
        <x:f t="shared" si="28"/>
        <x:v/>
      </x:c>
      <x:c r="H33" s="213"/>
      <x:c r="I33" s="156" t="str">
        <x:f>IF(H33="","",VLOOKUP($H33,구분표!$K$3:$M$151,2,FALSE))</x:f>
        <x:v/>
      </x:c>
      <x:c r="J33" s="156" t="str">
        <x:f>IF(I33="","",VLOOKUP($H33,구분표!$K$3:$M$151,3,FALSE))</x:f>
        <x:v/>
      </x:c>
      <x:c r="K33" s="233"/>
      <x:c r="L33" s="233"/>
      <x:c r="M33" s="459" t="str">
        <x:f t="shared" si="29"/>
        <x:v/>
      </x:c>
      <x:c r="N33" s="459" t="str">
        <x:f t="shared" si="30"/>
        <x:v/>
      </x:c>
      <x:c r="O33" s="461" t="str">
        <x:f t="shared" si="22"/>
        <x:v/>
      </x:c>
      <x:c r="P33" s="460"/>
      <x:c r="Q33" s="461">
        <x:f t="shared" si="23"/>
        <x:v>0</x:v>
      </x:c>
      <x:c r="R33" s="462"/>
      <x:c r="S33" s="463">
        <x:f t="shared" si="24"/>
        <x:v>0</x:v>
      </x:c>
      <x:c r="T33" s="162" t="str">
        <x:f t="shared" si="25"/>
        <x:v>X</x:v>
      </x:c>
      <x:c r="U33" s="220"/>
      <x:c r="V33" s="331"/>
      <x:c r="W33" s="221"/>
      <x:c r="X33" s="222"/>
      <x:c r="Y33" s="220"/>
      <x:c r="Z33" s="222"/>
      <x:c r="AA33" s="220"/>
      <x:c r="AC33" s="487">
        <x:f t="shared" si="26"/>
        <x:v>0</x:v>
      </x:c>
      <x:c r="AD33" s="487">
        <x:f t="shared" si="3"/>
        <x:v>0</x:v>
      </x:c>
      <x:c r="AE33" s="487">
        <x:f t="shared" si="4"/>
        <x:v>0</x:v>
      </x:c>
      <x:c r="AF33" s="374" t="str">
        <x:f t="shared" si="27"/>
        <x:v/>
      </x:c>
      <x:c r="AG33" s="165"/>
      <x:c r="AH33" s="487">
        <x:f t="shared" si="5"/>
        <x:v>0</x:v>
      </x:c>
      <x:c r="AI33" s="487">
        <x:f t="shared" si="6"/>
        <x:v>0</x:v>
      </x:c>
      <x:c r="AJ33" s="487">
        <x:f t="shared" si="7"/>
        <x:v>0</x:v>
      </x:c>
      <x:c r="AK33" s="374" t="str">
        <x:f t="shared" si="8"/>
        <x:v/>
      </x:c>
      <x:c r="AL33" s="8"/>
      <x:c r="AM33" s="533"/>
      <x:c r="AN33" s="374" t="str">
        <x:f>IF($AM33="","",IF($AM33="세입없음","OK",IF(COUNTIF('3. 일입'!$AN$8:$AN$2000,$AM33),"OK","@@")))</x:f>
        <x:v/>
      </x:c>
      <x:c r="AO33" s="356" t="str">
        <x:f t="shared" si="9"/>
        <x:v/>
      </x:c>
      <x:c r="AP33" s="374" t="str">
        <x:f t="shared" si="10"/>
        <x:v/>
      </x:c>
      <x:c r="AQ33" s="93"/>
      <x:c r="AR33" s="374" t="str">
        <x:f t="array" ref="AR33:AR33">IF(OR($D33="",$C33="직접입력",$B33="직접입력"),"",INDEX(구분표!$I$3:$I$321,MATCH(1,(구분표!$G$3:$G$321=$B33)*(구분표!$E$3:$E$321=$C33)*(구분표!$F$3:$F$321=$D33),0)))</x:f>
        <x:v/>
      </x:c>
      <x:c r="AS33" s="21"/>
    </x:row>
    <x:row r="34" spans="1:45" s="20" customFormat="1" ht="60" customHeight="1">
      <x:c r="A34" s="155" t="str">
        <x:f>IF(D34="","",COUNTA($C$7:C34)-COUNTBLANK($C$7:C34)+2)</x:f>
        <x:v/>
      </x:c>
      <x:c r="B34" s="156" t="str">
        <x: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x:f>
        <x:v/>
      </x:c>
      <x:c r="C34" s="156" t="str">
        <x:f>IF(D34="","",IF(OR(D34="교육지원과",D34="총무과",D34="인사과"),"직접입력",VLOOKUP(D34,구분표!$A$3:$C$258,3,)))</x:f>
        <x:v/>
      </x:c>
      <x:c r="D34" s="219"/>
      <x:c r="E34" s="213"/>
      <x:c r="F34" s="388" t="str">
        <x:f t="shared" si="28"/>
        <x:v/>
      </x:c>
      <x:c r="G34" s="388" t="str">
        <x:f t="shared" si="28"/>
        <x:v/>
      </x:c>
      <x:c r="H34" s="213"/>
      <x:c r="I34" s="156" t="str">
        <x:f>IF(H34="","",VLOOKUP($H34,구분표!$K$3:$M$151,2,FALSE))</x:f>
        <x:v/>
      </x:c>
      <x:c r="J34" s="156" t="str">
        <x:f>IF(I34="","",VLOOKUP($H34,구분표!$K$3:$M$151,3,FALSE))</x:f>
        <x:v/>
      </x:c>
      <x:c r="K34" s="233"/>
      <x:c r="L34" s="233"/>
      <x:c r="M34" s="459" t="str">
        <x:f t="shared" si="29"/>
        <x:v/>
      </x:c>
      <x:c r="N34" s="459" t="str">
        <x:f t="shared" si="30"/>
        <x:v/>
      </x:c>
      <x:c r="O34" s="461" t="str">
        <x:f t="shared" si="22"/>
        <x:v/>
      </x:c>
      <x:c r="P34" s="460"/>
      <x:c r="Q34" s="461">
        <x:f t="shared" si="23"/>
        <x:v>0</x:v>
      </x:c>
      <x:c r="R34" s="462"/>
      <x:c r="S34" s="463">
        <x:f t="shared" si="24"/>
        <x:v>0</x:v>
      </x:c>
      <x:c r="T34" s="162" t="str">
        <x:f t="shared" si="25"/>
        <x:v>X</x:v>
      </x:c>
      <x:c r="U34" s="220"/>
      <x:c r="V34" s="331"/>
      <x:c r="W34" s="221"/>
      <x:c r="X34" s="222"/>
      <x:c r="Y34" s="220"/>
      <x:c r="Z34" s="222"/>
      <x:c r="AA34" s="220"/>
      <x:c r="AC34" s="487">
        <x:f t="shared" si="26"/>
        <x:v>0</x:v>
      </x:c>
      <x:c r="AD34" s="487">
        <x:f t="shared" si="3"/>
        <x:v>0</x:v>
      </x:c>
      <x:c r="AE34" s="487">
        <x:f t="shared" si="4"/>
        <x:v>0</x:v>
      </x:c>
      <x:c r="AF34" s="374" t="str">
        <x:f t="shared" si="27"/>
        <x:v/>
      </x:c>
      <x:c r="AG34" s="165"/>
      <x:c r="AH34" s="487">
        <x:f t="shared" si="5"/>
        <x:v>0</x:v>
      </x:c>
      <x:c r="AI34" s="487">
        <x:f t="shared" si="6"/>
        <x:v>0</x:v>
      </x:c>
      <x:c r="AJ34" s="487">
        <x:f t="shared" si="7"/>
        <x:v>0</x:v>
      </x:c>
      <x:c r="AK34" s="374" t="str">
        <x:f t="shared" si="8"/>
        <x:v/>
      </x:c>
      <x:c r="AL34" s="8"/>
      <x:c r="AM34" s="533"/>
      <x:c r="AN34" s="374" t="str">
        <x:f>IF($AM34="","",IF($AM34="세입없음","OK",IF(COUNTIF('3. 일입'!$AN$8:$AN$2000,$AM34),"OK","@@")))</x:f>
        <x:v/>
      </x:c>
      <x:c r="AO34" s="356" t="str">
        <x:f t="shared" si="9"/>
        <x:v/>
      </x:c>
      <x:c r="AP34" s="374" t="str">
        <x:f t="shared" si="10"/>
        <x:v/>
      </x:c>
      <x:c r="AQ34" s="93"/>
      <x:c r="AR34" s="374" t="str">
        <x:f t="array" ref="AR34:AR34">IF(OR($D34="",$C34="직접입력",$B34="직접입력"),"",INDEX(구분표!$I$3:$I$321,MATCH(1,(구분표!$G$3:$G$321=$B34)*(구분표!$E$3:$E$321=$C34)*(구분표!$F$3:$F$321=$D34),0)))</x:f>
        <x:v/>
      </x:c>
      <x:c r="AS34" s="21"/>
    </x:row>
    <x:row r="35" spans="1:45" s="20" customFormat="1" ht="60" customHeight="1">
      <x:c r="A35" s="155" t="str">
        <x:f>IF(D35="","",COUNTA($C$7:C35)-COUNTBLANK($C$7:C35)+2)</x:f>
        <x:v/>
      </x:c>
      <x:c r="B35" s="156" t="str">
        <x: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x:f>
        <x:v/>
      </x:c>
      <x:c r="C35" s="156" t="str">
        <x:f>IF(D35="","",IF(OR(D35="교육지원과",D35="총무과",D35="인사과"),"직접입력",VLOOKUP(D35,구분표!$A$3:$C$258,3,)))</x:f>
        <x:v/>
      </x:c>
      <x:c r="D35" s="219"/>
      <x:c r="E35" s="213"/>
      <x:c r="F35" s="388" t="str">
        <x:f t="shared" si="28"/>
        <x:v/>
      </x:c>
      <x:c r="G35" s="388" t="str">
        <x:f t="shared" si="28"/>
        <x:v/>
      </x:c>
      <x:c r="H35" s="213"/>
      <x:c r="I35" s="156" t="str">
        <x:f>IF(H35="","",VLOOKUP($H35,구분표!$K$3:$M$151,2,FALSE))</x:f>
        <x:v/>
      </x:c>
      <x:c r="J35" s="156" t="str">
        <x:f>IF(I35="","",VLOOKUP($H35,구분표!$K$3:$M$151,3,FALSE))</x:f>
        <x:v/>
      </x:c>
      <x:c r="K35" s="233"/>
      <x:c r="L35" s="233"/>
      <x:c r="M35" s="459" t="str">
        <x:f t="shared" si="29"/>
        <x:v/>
      </x:c>
      <x:c r="N35" s="459" t="str">
        <x:f t="shared" si="30"/>
        <x:v/>
      </x:c>
      <x:c r="O35" s="461" t="str">
        <x:f t="shared" si="22"/>
        <x:v/>
      </x:c>
      <x:c r="P35" s="460"/>
      <x:c r="Q35" s="461">
        <x:f t="shared" si="23"/>
        <x:v>0</x:v>
      </x:c>
      <x:c r="R35" s="462"/>
      <x:c r="S35" s="463">
        <x:f t="shared" si="24"/>
        <x:v>0</x:v>
      </x:c>
      <x:c r="T35" s="162" t="str">
        <x:f t="shared" si="25"/>
        <x:v>X</x:v>
      </x:c>
      <x:c r="U35" s="220"/>
      <x:c r="V35" s="331"/>
      <x:c r="W35" s="221"/>
      <x:c r="X35" s="222"/>
      <x:c r="Y35" s="220"/>
      <x:c r="Z35" s="222"/>
      <x:c r="AA35" s="220"/>
      <x:c r="AC35" s="487">
        <x:f t="shared" si="26"/>
        <x:v>0</x:v>
      </x:c>
      <x:c r="AD35" s="487">
        <x:f t="shared" si="3"/>
        <x:v>0</x:v>
      </x:c>
      <x:c r="AE35" s="487">
        <x:f t="shared" si="4"/>
        <x:v>0</x:v>
      </x:c>
      <x:c r="AF35" s="374" t="str">
        <x:f t="shared" si="27"/>
        <x:v/>
      </x:c>
      <x:c r="AG35" s="165"/>
      <x:c r="AH35" s="487">
        <x:f t="shared" si="5"/>
        <x:v>0</x:v>
      </x:c>
      <x:c r="AI35" s="487">
        <x:f t="shared" si="6"/>
        <x:v>0</x:v>
      </x:c>
      <x:c r="AJ35" s="487">
        <x:f t="shared" si="7"/>
        <x:v>0</x:v>
      </x:c>
      <x:c r="AK35" s="374" t="str">
        <x:f t="shared" si="8"/>
        <x:v/>
      </x:c>
      <x:c r="AL35" s="8"/>
      <x:c r="AM35" s="533"/>
      <x:c r="AN35" s="374" t="str">
        <x:f>IF($AM35="","",IF($AM35="세입없음","OK",IF(COUNTIF('3. 일입'!$AN$8:$AN$2000,$AM35),"OK","@@")))</x:f>
        <x:v/>
      </x:c>
      <x:c r="AO35" s="356" t="str">
        <x:f t="shared" si="9"/>
        <x:v/>
      </x:c>
      <x:c r="AP35" s="374" t="str">
        <x:f t="shared" si="10"/>
        <x:v/>
      </x:c>
      <x:c r="AQ35" s="93"/>
      <x:c r="AR35" s="374" t="str">
        <x:f t="array" ref="AR35:AR35">IF(OR($D35="",$C35="직접입력",$B35="직접입력"),"",INDEX(구분표!$I$3:$I$321,MATCH(1,(구분표!$G$3:$G$321=$B35)*(구분표!$E$3:$E$321=$C35)*(구분표!$F$3:$F$321=$D35),0)))</x:f>
        <x:v/>
      </x:c>
      <x:c r="AS35" s="21"/>
    </x:row>
    <x:row r="36" spans="1:45" s="20" customFormat="1" ht="60" customHeight="1">
      <x:c r="A36" s="155" t="str">
        <x:f>IF(D36="","",COUNTA($C$7:C36)-COUNTBLANK($C$7:C36)+2)</x:f>
        <x:v/>
      </x:c>
      <x:c r="B36" s="156" t="str">
        <x: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x:f>
        <x:v/>
      </x:c>
      <x:c r="C36" s="156" t="str">
        <x:f>IF(D36="","",IF(OR(D36="교육지원과",D36="총무과",D36="인사과"),"직접입력",VLOOKUP(D36,구분표!$A$3:$C$258,3,)))</x:f>
        <x:v/>
      </x:c>
      <x:c r="D36" s="219"/>
      <x:c r="E36" s="213"/>
      <x:c r="F36" s="388" t="str">
        <x:f t="shared" si="28"/>
        <x:v/>
      </x:c>
      <x:c r="G36" s="388" t="str">
        <x:f t="shared" si="28"/>
        <x:v/>
      </x:c>
      <x:c r="H36" s="213"/>
      <x:c r="I36" s="156" t="str">
        <x:f>IF(H36="","",VLOOKUP($H36,구분표!$K$3:$M$151,2,FALSE))</x:f>
        <x:v/>
      </x:c>
      <x:c r="J36" s="156" t="str">
        <x:f>IF(I36="","",VLOOKUP($H36,구분표!$K$3:$M$151,3,FALSE))</x:f>
        <x:v/>
      </x:c>
      <x:c r="K36" s="233"/>
      <x:c r="L36" s="233"/>
      <x:c r="M36" s="459" t="str">
        <x:f t="shared" si="29"/>
        <x:v/>
      </x:c>
      <x:c r="N36" s="459" t="str">
        <x:f t="shared" si="30"/>
        <x:v/>
      </x:c>
      <x:c r="O36" s="461" t="str">
        <x:f t="shared" si="22"/>
        <x:v/>
      </x:c>
      <x:c r="P36" s="460"/>
      <x:c r="Q36" s="461">
        <x:f t="shared" si="23"/>
        <x:v>0</x:v>
      </x:c>
      <x:c r="R36" s="462"/>
      <x:c r="S36" s="463">
        <x:f t="shared" si="24"/>
        <x:v>0</x:v>
      </x:c>
      <x:c r="T36" s="162" t="str">
        <x:f t="shared" si="25"/>
        <x:v>X</x:v>
      </x:c>
      <x:c r="U36" s="220"/>
      <x:c r="V36" s="331"/>
      <x:c r="W36" s="221"/>
      <x:c r="X36" s="222"/>
      <x:c r="Y36" s="220"/>
      <x:c r="Z36" s="222"/>
      <x:c r="AA36" s="220"/>
      <x:c r="AC36" s="487">
        <x:f t="shared" si="26"/>
        <x:v>0</x:v>
      </x:c>
      <x:c r="AD36" s="487">
        <x:f t="shared" si="3"/>
        <x:v>0</x:v>
      </x:c>
      <x:c r="AE36" s="487">
        <x:f t="shared" si="4"/>
        <x:v>0</x:v>
      </x:c>
      <x:c r="AF36" s="374" t="str">
        <x:f t="shared" si="27"/>
        <x:v/>
      </x:c>
      <x:c r="AG36" s="165"/>
      <x:c r="AH36" s="487">
        <x:f t="shared" si="5"/>
        <x:v>0</x:v>
      </x:c>
      <x:c r="AI36" s="487">
        <x:f t="shared" si="6"/>
        <x:v>0</x:v>
      </x:c>
      <x:c r="AJ36" s="487">
        <x:f t="shared" si="7"/>
        <x:v>0</x:v>
      </x:c>
      <x:c r="AK36" s="374" t="str">
        <x:f t="shared" si="8"/>
        <x:v/>
      </x:c>
      <x:c r="AL36" s="8"/>
      <x:c r="AM36" s="533"/>
      <x:c r="AN36" s="374" t="str">
        <x:f>IF($AM36="","",IF($AM36="세입없음","OK",IF(COUNTIF('3. 일입'!$AN$8:$AN$2000,$AM36),"OK","@@")))</x:f>
        <x:v/>
      </x:c>
      <x:c r="AO36" s="356" t="str">
        <x:f t="shared" si="9"/>
        <x:v/>
      </x:c>
      <x:c r="AP36" s="374" t="str">
        <x:f t="shared" si="10"/>
        <x:v/>
      </x:c>
      <x:c r="AQ36" s="93"/>
      <x:c r="AR36" s="374" t="str">
        <x:f t="array" ref="AR36:AR36">IF(OR($D36="",$C36="직접입력",$B36="직접입력"),"",INDEX(구분표!$I$3:$I$321,MATCH(1,(구분표!$G$3:$G$321=$B36)*(구분표!$E$3:$E$321=$C36)*(구분표!$F$3:$F$321=$D36),0)))</x:f>
        <x:v/>
      </x:c>
      <x:c r="AS36" s="21"/>
    </x:row>
    <x:row r="37" spans="1:45" s="157" customFormat="1" ht="60" customHeight="1">
      <x:c r="A37" s="155" t="str">
        <x:f>IF(D37="","",COUNTA($C$7:C37)-COUNTBLANK($C$7:C37)+2)</x:f>
        <x:v/>
      </x:c>
      <x:c r="B37" s="156" t="str">
        <x: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x:f>
        <x:v/>
      </x:c>
      <x:c r="C37" s="156" t="str">
        <x:f>IF(D37="","",IF(OR(D37="교육지원과",D37="총무과",D37="인사과"),"직접입력",VLOOKUP(D37,구분표!$A$3:$C$258,3,)))</x:f>
        <x:v/>
      </x:c>
      <x:c r="D37" s="219"/>
      <x:c r="E37" s="213"/>
      <x:c r="F37" s="388" t="str">
        <x:f t="shared" si="28"/>
        <x:v/>
      </x:c>
      <x:c r="G37" s="388" t="str">
        <x:f t="shared" si="28"/>
        <x:v/>
      </x:c>
      <x:c r="H37" s="213"/>
      <x:c r="I37" s="156" t="str">
        <x:f>IF(H37="","",VLOOKUP($H37,구분표!$K$3:$M$151,2,FALSE))</x:f>
        <x:v/>
      </x:c>
      <x:c r="J37" s="156" t="str">
        <x:f>IF(I37="","",VLOOKUP($H37,구분표!$K$3:$M$151,3,FALSE))</x:f>
        <x:v/>
      </x:c>
      <x:c r="K37" s="233"/>
      <x:c r="L37" s="233"/>
      <x:c r="M37" s="459" t="str">
        <x:f t="shared" si="29"/>
        <x:v/>
      </x:c>
      <x:c r="N37" s="459" t="str">
        <x:f t="shared" si="30"/>
        <x:v/>
      </x:c>
      <x:c r="O37" s="461" t="str">
        <x:f t="shared" si="22"/>
        <x:v/>
      </x:c>
      <x:c r="P37" s="460"/>
      <x:c r="Q37" s="461">
        <x:f t="shared" si="23"/>
        <x:v>0</x:v>
      </x:c>
      <x:c r="R37" s="462"/>
      <x:c r="S37" s="463">
        <x:f t="shared" si="24"/>
        <x:v>0</x:v>
      </x:c>
      <x:c r="T37" s="162" t="str">
        <x:f t="shared" si="25"/>
        <x:v>X</x:v>
      </x:c>
      <x:c r="U37" s="220"/>
      <x:c r="V37" s="331"/>
      <x:c r="W37" s="221"/>
      <x:c r="X37" s="222"/>
      <x:c r="Y37" s="220"/>
      <x:c r="Z37" s="222"/>
      <x:c r="AA37" s="220"/>
      <x:c r="AB37" s="20"/>
      <x:c r="AC37" s="487">
        <x:f t="shared" si="26"/>
        <x:v>0</x:v>
      </x:c>
      <x:c r="AD37" s="487">
        <x:f t="shared" si="3"/>
        <x:v>0</x:v>
      </x:c>
      <x:c r="AE37" s="487">
        <x:f t="shared" si="4"/>
        <x:v>0</x:v>
      </x:c>
      <x:c r="AF37" s="374" t="str">
        <x:f t="shared" si="27"/>
        <x:v/>
      </x:c>
      <x:c r="AG37" s="165"/>
      <x:c r="AH37" s="487">
        <x:f t="shared" si="5"/>
        <x:v>0</x:v>
      </x:c>
      <x:c r="AI37" s="487">
        <x:f t="shared" si="6"/>
        <x:v>0</x:v>
      </x:c>
      <x:c r="AJ37" s="487">
        <x:f t="shared" si="7"/>
        <x:v>0</x:v>
      </x:c>
      <x:c r="AK37" s="374" t="str">
        <x:f t="shared" si="8"/>
        <x:v/>
      </x:c>
      <x:c r="AL37" s="8"/>
      <x:c r="AM37" s="533"/>
      <x:c r="AN37" s="374" t="str">
        <x:f>IF($AM37="","",IF($AM37="세입없음","OK",IF(COUNTIF('3. 일입'!$AN$8:$AN$2000,$AM37),"OK","@@")))</x:f>
        <x:v/>
      </x:c>
      <x:c r="AO37" s="356" t="str">
        <x:f t="shared" si="9"/>
        <x:v/>
      </x:c>
      <x:c r="AP37" s="374" t="str">
        <x:f t="shared" si="10"/>
        <x:v/>
      </x:c>
      <x:c r="AQ37" s="93"/>
      <x:c r="AR37" s="374" t="str">
        <x:f t="array" ref="AR37:AR37">IF(OR($D37="",$C37="직접입력",$B37="직접입력"),"",INDEX(구분표!$I$3:$I$321,MATCH(1,(구분표!$G$3:$G$321=$B37)*(구분표!$E$3:$E$321=$C37)*(구분표!$F$3:$F$321=$D37),0)))</x:f>
        <x:v/>
      </x:c>
      <x:c r="AS37" s="21"/>
    </x:row>
    <x:row r="38" spans="1:45" s="20" customFormat="1" ht="60" customHeight="1">
      <x:c r="A38" s="155" t="str">
        <x:f>IF(D38="","",COUNTA($C$7:C38)-COUNTBLANK($C$7:C38)+2)</x:f>
        <x:v/>
      </x:c>
      <x:c r="B38" s="156" t="str">
        <x: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x:f>
        <x:v/>
      </x:c>
      <x:c r="C38" s="156" t="str">
        <x:f>IF(D38="","",IF(OR(D38="교육지원과",D38="총무과",D38="인사과"),"직접입력",VLOOKUP(D38,구분표!$A$3:$C$258,3,)))</x:f>
        <x:v/>
      </x:c>
      <x:c r="D38" s="219"/>
      <x:c r="E38" s="213"/>
      <x:c r="F38" s="388" t="str">
        <x:f t="shared" si="28"/>
        <x:v/>
      </x:c>
      <x:c r="G38" s="388" t="str">
        <x:f t="shared" si="28"/>
        <x:v/>
      </x:c>
      <x:c r="H38" s="213"/>
      <x:c r="I38" s="156" t="str">
        <x:f>IF(H38="","",VLOOKUP($H38,구분표!$K$3:$M$151,2,FALSE))</x:f>
        <x:v/>
      </x:c>
      <x:c r="J38" s="156" t="str">
        <x:f>IF(I38="","",VLOOKUP($H38,구분표!$K$3:$M$151,3,FALSE))</x:f>
        <x:v/>
      </x:c>
      <x:c r="K38" s="233"/>
      <x:c r="L38" s="233"/>
      <x:c r="M38" s="459" t="str">
        <x:f t="shared" si="29"/>
        <x:v/>
      </x:c>
      <x:c r="N38" s="459" t="str">
        <x:f t="shared" si="30"/>
        <x:v/>
      </x:c>
      <x:c r="O38" s="461" t="str">
        <x:f t="shared" si="22"/>
        <x:v/>
      </x:c>
      <x:c r="P38" s="460"/>
      <x:c r="Q38" s="461">
        <x:f t="shared" si="23"/>
        <x:v>0</x:v>
      </x:c>
      <x:c r="R38" s="462"/>
      <x:c r="S38" s="463">
        <x:f t="shared" si="24"/>
        <x:v>0</x:v>
      </x:c>
      <x:c r="T38" s="162" t="str">
        <x:f t="shared" si="25"/>
        <x:v>X</x:v>
      </x:c>
      <x:c r="U38" s="220"/>
      <x:c r="V38" s="331"/>
      <x:c r="W38" s="221"/>
      <x:c r="X38" s="222"/>
      <x:c r="Y38" s="220"/>
      <x:c r="Z38" s="222"/>
      <x:c r="AA38" s="220"/>
      <x:c r="AC38" s="487">
        <x:f t="shared" si="26"/>
        <x:v>0</x:v>
      </x:c>
      <x:c r="AD38" s="487">
        <x:f t="shared" si="3"/>
        <x:v>0</x:v>
      </x:c>
      <x:c r="AE38" s="487">
        <x:f t="shared" si="4"/>
        <x:v>0</x:v>
      </x:c>
      <x:c r="AF38" s="374" t="str">
        <x:f t="shared" si="27"/>
        <x:v/>
      </x:c>
      <x:c r="AG38" s="165"/>
      <x:c r="AH38" s="487">
        <x:f t="shared" si="5"/>
        <x:v>0</x:v>
      </x:c>
      <x:c r="AI38" s="487">
        <x:f t="shared" si="6"/>
        <x:v>0</x:v>
      </x:c>
      <x:c r="AJ38" s="487">
        <x:f t="shared" si="7"/>
        <x:v>0</x:v>
      </x:c>
      <x:c r="AK38" s="374" t="str">
        <x:f t="shared" si="8"/>
        <x:v/>
      </x:c>
      <x:c r="AL38" s="8"/>
      <x:c r="AM38" s="533"/>
      <x:c r="AN38" s="374" t="str">
        <x:f>IF($AM38="","",IF($AM38="세입없음","OK",IF(COUNTIF('3. 일입'!$AN$8:$AN$2000,$AM38),"OK","@@")))</x:f>
        <x:v/>
      </x:c>
      <x:c r="AO38" s="356" t="str">
        <x:f t="shared" si="9"/>
        <x:v/>
      </x:c>
      <x:c r="AP38" s="374" t="str">
        <x:f t="shared" si="10"/>
        <x:v/>
      </x:c>
      <x:c r="AQ38" s="93"/>
      <x:c r="AR38" s="374" t="str">
        <x:f t="array" ref="AR38:AR38">IF(OR($D38="",$C38="직접입력",$B38="직접입력"),"",INDEX(구분표!$I$3:$I$321,MATCH(1,(구분표!$G$3:$G$321=$B38)*(구분표!$E$3:$E$321=$C38)*(구분표!$F$3:$F$321=$D38),0)))</x:f>
        <x:v/>
      </x:c>
      <x:c r="AS38" s="21"/>
    </x:row>
    <x:row r="39" spans="1:45" s="336" customFormat="1" ht="60" customHeight="1">
      <x:c r="A39" s="335"/>
      <x:c r="B39" s="985" t="s">
        <x:v>1538</x:v>
      </x:c>
      <x:c r="C39" s="986"/>
      <x:c r="D39" s="986"/>
      <x:c r="E39" s="986"/>
      <x:c r="F39" s="986"/>
      <x:c r="G39" s="987"/>
      <x:c r="H39" s="244"/>
      <x:c r="I39" s="244"/>
      <x:c r="J39" s="188"/>
      <x:c r="K39" s="418"/>
      <x:c r="L39" s="419" t="str">
        <x:f>SUBTOTAL(3,L40:L54)&amp;"건"</x:f>
        <x:v>0건</x:v>
      </x:c>
      <x:c r="M39" s="476">
        <x:f t="shared" ref="M39:N39" si="31">SUBTOTAL(9,M40:M54)</x:f>
        <x:v>0</x:v>
      </x:c>
      <x:c r="N39" s="476">
        <x:f t="shared" si="31"/>
        <x:v>0</x:v>
      </x:c>
      <x:c r="O39" s="476">
        <x:f t="shared" ref="O39:S39" si="32">SUBTOTAL(9,O40:O54)</x:f>
        <x:v>0</x:v>
      </x:c>
      <x:c r="P39" s="476">
        <x:f t="shared" si="32"/>
        <x:v>0</x:v>
      </x:c>
      <x:c r="Q39" s="476">
        <x:f t="shared" si="32"/>
        <x:v>0</x:v>
      </x:c>
      <x:c r="R39" s="476">
        <x:f t="shared" si="32"/>
        <x:v>0</x:v>
      </x:c>
      <x:c r="S39" s="476">
        <x:f t="shared" si="32"/>
        <x:v>0</x:v>
      </x:c>
      <x:c r="T39" s="416"/>
      <x:c r="U39" s="420"/>
      <x:c r="V39" s="420"/>
      <x:c r="W39" s="186"/>
      <x:c r="X39" s="186"/>
      <x:c r="Y39" s="186"/>
      <x:c r="Z39" s="187"/>
      <x:c r="AA39" s="186"/>
      <x:c r="AC39" s="481">
        <x:f>SUBTOTAL(9,AC40:AC54)</x:f>
        <x:v>0</x:v>
      </x:c>
      <x:c r="AD39" s="481">
        <x:f>SUBTOTAL(9,AD40:AD54)</x:f>
        <x:v>0</x:v>
      </x:c>
      <x:c r="AE39" s="481">
        <x:f>SUBTOTAL(9,AE40:AE54)</x:f>
        <x:v>0</x:v>
      </x:c>
      <x:c r="AF39" s="554" t="str">
        <x:f>IF(COUNTIF(AF40:AF54,"@@")&gt;0,"@@","OK")</x:f>
        <x:v>OK</x:v>
      </x:c>
      <x:c r="AG39" s="165"/>
      <x:c r="AH39" s="481">
        <x:f>SUBTOTAL(9,AH40:AH54)</x:f>
        <x:v>0</x:v>
      </x:c>
      <x:c r="AI39" s="481">
        <x:f>SUBTOTAL(9,AI40:AI54)</x:f>
        <x:v>0</x:v>
      </x:c>
      <x:c r="AJ39" s="481">
        <x:f>SUBTOTAL(9,AJ40:AJ54)</x:f>
        <x:v>0</x:v>
      </x:c>
      <x:c r="AK39" s="554" t="str">
        <x:f>IF(COUNTIF(AK40:AK54,"@@")&gt;0,"@@","OK")</x:f>
        <x:v>OK</x:v>
      </x:c>
      <x:c r="AL39" s="165"/>
      <x:c r="AM39" s="422"/>
      <x:c r="AN39" s="554" t="str">
        <x:f>IF(COUNTIF(AN40:AN54,"@@")&gt;0,"@@","OK")</x:f>
        <x:v>OK</x:v>
      </x:c>
      <x:c r="AO39" s="422"/>
      <x:c r="AP39" s="554" t="str">
        <x:f>IF(COUNTIF(AP40:AP54,"@@")&gt;0,"@@","OK")</x:f>
        <x:v>OK</x:v>
      </x:c>
      <x:c r="AQ39" s="164"/>
      <x:c r="AR39" s="422"/>
      <x:c r="AS39" s="21"/>
    </x:row>
    <x:row r="40" spans="1:45" s="20" customFormat="1" ht="60" customHeight="1">
      <x:c r="A40" s="155" t="str">
        <x:f>IF(D40="","",COUNTA($C$7:C40)-COUNTBLANK($C$7:C40)+3)</x:f>
        <x:v/>
      </x:c>
      <x:c r="B40" s="156" t="str">
        <x: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x:f>
        <x:v/>
      </x:c>
      <x:c r="C40" s="156" t="str">
        <x:f>IF(D40="","",IF(OR(D40="교육지원과",D40="총무과",D40="인사과"),"직접입력",VLOOKUP(D40,구분표!$A$3:$C$258,3,)))</x:f>
        <x:v/>
      </x:c>
      <x:c r="D40" s="219"/>
      <x:c r="E40" s="213"/>
      <x:c r="F40" s="388" t="str">
        <x:f>IF($E40="","",IF($E40="2추","직접입력","-"))</x:f>
        <x:v/>
      </x:c>
      <x:c r="G40" s="388" t="str">
        <x:f>IF($E40="","",IF($E40="2추","직접입력","-"))</x:f>
        <x:v/>
      </x:c>
      <x:c r="H40" s="213"/>
      <x:c r="I40" s="156" t="str">
        <x:f>IF(H40="","",VLOOKUP($H40,구분표!$K$3:$M$151,2,FALSE))</x:f>
        <x:v/>
      </x:c>
      <x:c r="J40" s="156" t="str">
        <x:f>IF(I40="","",VLOOKUP($H40,구분표!$K$3:$M$151,3,FALSE))</x:f>
        <x:v/>
      </x:c>
      <x:c r="K40" s="233"/>
      <x:c r="L40" s="233"/>
      <x:c r="M40" s="459" t="str">
        <x:f>IF($E40="","",IF(OR($E40="2추",$E40="1추",$E40="본예산"),"금액입력","-"))</x:f>
        <x:v/>
      </x:c>
      <x:c r="N40" s="459" t="str">
        <x:f>IF($E40="","",IF($E40="2추","금액입력","-"))</x:f>
        <x:v/>
      </x:c>
      <x:c r="O40" s="461" t="str">
        <x:f t="shared" ref="O40:O54" si="33">IF($E40="","",SUM(M40:N40))</x:f>
        <x:v/>
      </x:c>
      <x:c r="P40" s="460"/>
      <x:c r="Q40" s="461">
        <x:f t="shared" ref="Q40:Q54" si="34">SUM(O40:P40)</x:f>
        <x:v>0</x:v>
      </x:c>
      <x:c r="R40" s="462"/>
      <x:c r="S40" s="463">
        <x:f t="shared" ref="S40:S54" si="35">SUM(O40,R40)</x:f>
        <x:v>0</x:v>
      </x:c>
      <x:c r="T40" s="162" t="str">
        <x:f t="shared" ref="T40:T54" si="36">IF(AND((Q40=0),(S40&gt;0)),"O",IF(AND((P40&lt;0),(Q40-S40&lt;0)),"O","X"))</x:f>
        <x:v>X</x:v>
      </x:c>
      <x:c r="U40" s="220"/>
      <x:c r="V40" s="331"/>
      <x:c r="W40" s="221"/>
      <x:c r="X40" s="222"/>
      <x:c r="Y40" s="220"/>
      <x:c r="Z40" s="222"/>
      <x:c r="AA40" s="220"/>
      <x:c r="AC40" s="487">
        <x:f t="shared" ref="AC40:AC54" si="37">IF($P40="",0,IF(AND(ISNUMBER(AD40),ISNUMBER(AE40)),$P40-$AD40-$AE40,0))</x:f>
        <x:v>0</x:v>
      </x:c>
      <x:c r="AD40" s="487">
        <x:f t="shared" si="3"/>
        <x:v>0</x:v>
      </x:c>
      <x:c r="AE40" s="487">
        <x:f t="shared" si="4"/>
        <x:v>0</x:v>
      </x:c>
      <x:c r="AF40" s="374" t="str">
        <x:f t="shared" ref="AF40:AF54" si="38">IF($P40="",IF(SUM($AC40:$AE40)=0,"","@@"),IF(AND($P40=SUM($AC40:$AE40),Q40&gt;=0),"OK","@@"))</x:f>
        <x:v/>
      </x:c>
      <x:c r="AG40" s="165"/>
      <x:c r="AH40" s="487">
        <x:f t="shared" si="5"/>
        <x:v>0</x:v>
      </x:c>
      <x:c r="AI40" s="487">
        <x:f t="shared" si="6"/>
        <x:v>0</x:v>
      </x:c>
      <x:c r="AJ40" s="487">
        <x:f t="shared" si="7"/>
        <x:v>0</x:v>
      </x:c>
      <x:c r="AK40" s="374" t="str">
        <x:f t="shared" si="8"/>
        <x:v/>
      </x:c>
      <x:c r="AL40" s="8"/>
      <x:c r="AM40" s="533"/>
      <x:c r="AN40" s="374" t="str">
        <x:f>IF($AM40="","",IF($AM40="세입없음","OK",IF(COUNTIF('3. 일입'!$AN$8:$AN$2000,$AM40),"OK","@@")))</x:f>
        <x:v/>
      </x:c>
      <x:c r="AO40" s="356" t="str">
        <x:f t="shared" si="9"/>
        <x:v/>
      </x:c>
      <x:c r="AP40" s="374" t="str">
        <x:f t="shared" si="10"/>
        <x:v/>
      </x:c>
      <x:c r="AQ40" s="93"/>
      <x:c r="AR40" s="374" t="str">
        <x:f t="array" ref="AR40:AR40">IF(OR($D40="",$C40="직접입력",$B40="직접입력"),"",INDEX(구분표!$I$3:$I$321,MATCH(1,(구분표!$G$3:$G$321=$B40)*(구분표!$E$3:$E$321=$C40)*(구분표!$F$3:$F$321=$D40),0)))</x:f>
        <x:v/>
      </x:c>
      <x:c r="AS40" s="21"/>
    </x:row>
    <x:row r="41" spans="1:45" s="20" customFormat="1" ht="60" customHeight="1">
      <x:c r="A41" s="155" t="str">
        <x:f>IF(D41="","",COUNTA($C$7:C41)-COUNTBLANK($C$7:C41)+3)</x:f>
        <x:v/>
      </x:c>
      <x:c r="B41" s="156" t="str">
        <x: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x:f>
        <x:v/>
      </x:c>
      <x:c r="C41" s="156" t="str">
        <x:f>IF(D41="","",IF(OR(D41="교육지원과",D41="총무과",D41="인사과"),"직접입력",VLOOKUP(D41,구분표!$A$3:$C$258,3,)))</x:f>
        <x:v/>
      </x:c>
      <x:c r="D41" s="219"/>
      <x:c r="E41" s="213"/>
      <x:c r="F41" s="388" t="str">
        <x:f t="shared" ref="F41:G54" si="39">IF($E41="","",IF($E41="2추","직접입력","-"))</x:f>
        <x:v/>
      </x:c>
      <x:c r="G41" s="388" t="str">
        <x:f t="shared" si="39"/>
        <x:v/>
      </x:c>
      <x:c r="H41" s="213"/>
      <x:c r="I41" s="156" t="str">
        <x:f>IF(H41="","",VLOOKUP($H41,구분표!$K$3:$M$151,2,FALSE))</x:f>
        <x:v/>
      </x:c>
      <x:c r="J41" s="156" t="str">
        <x:f>IF(I41="","",VLOOKUP($H41,구분표!$K$3:$M$151,3,FALSE))</x:f>
        <x:v/>
      </x:c>
      <x:c r="K41" s="233"/>
      <x:c r="L41" s="233"/>
      <x:c r="M41" s="459" t="str">
        <x:f t="shared" ref="M41:M54" si="40">IF($E41="","",IF(OR($E41="2추",$E41="1추",$E41="본예산"),"금액입력","-"))</x:f>
        <x:v/>
      </x:c>
      <x:c r="N41" s="459" t="str">
        <x:f t="shared" ref="N41:N54" si="41">IF($E41="","",IF($E41="2추","금액입력","-"))</x:f>
        <x:v/>
      </x:c>
      <x:c r="O41" s="461" t="str">
        <x:f t="shared" si="33"/>
        <x:v/>
      </x:c>
      <x:c r="P41" s="460"/>
      <x:c r="Q41" s="461">
        <x:f t="shared" si="34"/>
        <x:v>0</x:v>
      </x:c>
      <x:c r="R41" s="462"/>
      <x:c r="S41" s="463">
        <x:f t="shared" si="35"/>
        <x:v>0</x:v>
      </x:c>
      <x:c r="T41" s="162" t="str">
        <x:f t="shared" si="36"/>
        <x:v>X</x:v>
      </x:c>
      <x:c r="U41" s="220"/>
      <x:c r="V41" s="331"/>
      <x:c r="W41" s="221"/>
      <x:c r="X41" s="222"/>
      <x:c r="Y41" s="220"/>
      <x:c r="Z41" s="222"/>
      <x:c r="AA41" s="220"/>
      <x:c r="AC41" s="487">
        <x:f t="shared" si="37"/>
        <x:v>0</x:v>
      </x:c>
      <x:c r="AD41" s="487">
        <x:f t="shared" si="3"/>
        <x:v>0</x:v>
      </x:c>
      <x:c r="AE41" s="487">
        <x:f t="shared" si="4"/>
        <x:v>0</x:v>
      </x:c>
      <x:c r="AF41" s="374" t="str">
        <x:f t="shared" si="38"/>
        <x:v/>
      </x:c>
      <x:c r="AG41" s="165"/>
      <x:c r="AH41" s="487">
        <x:f t="shared" si="5"/>
        <x:v>0</x:v>
      </x:c>
      <x:c r="AI41" s="487">
        <x:f t="shared" si="6"/>
        <x:v>0</x:v>
      </x:c>
      <x:c r="AJ41" s="487">
        <x:f t="shared" si="7"/>
        <x:v>0</x:v>
      </x:c>
      <x:c r="AK41" s="374" t="str">
        <x:f t="shared" si="8"/>
        <x:v/>
      </x:c>
      <x:c r="AL41" s="8"/>
      <x:c r="AM41" s="533"/>
      <x:c r="AN41" s="374" t="str">
        <x:f>IF($AM41="","",IF($AM41="세입없음","OK",IF(COUNTIF('3. 일입'!$AN$8:$AN$2000,$AM41),"OK","@@")))</x:f>
        <x:v/>
      </x:c>
      <x:c r="AO41" s="356" t="str">
        <x:f t="shared" si="9"/>
        <x:v/>
      </x:c>
      <x:c r="AP41" s="374" t="str">
        <x:f t="shared" si="10"/>
        <x:v/>
      </x:c>
      <x:c r="AQ41" s="93"/>
      <x:c r="AR41" s="374" t="str">
        <x:f t="array" ref="AR41:AR41">IF(OR($D41="",$C41="직접입력",$B41="직접입력"),"",INDEX(구분표!$I$3:$I$321,MATCH(1,(구분표!$G$3:$G$321=$B41)*(구분표!$E$3:$E$321=$C41)*(구분표!$F$3:$F$321=$D41),0)))</x:f>
        <x:v/>
      </x:c>
      <x:c r="AS41" s="21"/>
    </x:row>
    <x:row r="42" spans="1:45" s="20" customFormat="1" ht="60" customHeight="1">
      <x:c r="A42" s="155" t="str">
        <x:f>IF(D42="","",COUNTA($C$7:C42)-COUNTBLANK($C$7:C42)+3)</x:f>
        <x:v/>
      </x:c>
      <x:c r="B42" s="156" t="str">
        <x: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x:f>
        <x:v/>
      </x:c>
      <x:c r="C42" s="156" t="str">
        <x:f>IF(D42="","",IF(OR(D42="교육지원과",D42="총무과",D42="인사과"),"직접입력",VLOOKUP(D42,구분표!$A$3:$C$258,3,)))</x:f>
        <x:v/>
      </x:c>
      <x:c r="D42" s="219"/>
      <x:c r="E42" s="213"/>
      <x:c r="F42" s="388" t="str">
        <x:f t="shared" si="39"/>
        <x:v/>
      </x:c>
      <x:c r="G42" s="388" t="str">
        <x:f t="shared" si="39"/>
        <x:v/>
      </x:c>
      <x:c r="H42" s="213"/>
      <x:c r="I42" s="156" t="str">
        <x:f>IF(H42="","",VLOOKUP($H42,구분표!$K$3:$M$151,2,FALSE))</x:f>
        <x:v/>
      </x:c>
      <x:c r="J42" s="156" t="str">
        <x:f>IF(I42="","",VLOOKUP($H42,구분표!$K$3:$M$151,3,FALSE))</x:f>
        <x:v/>
      </x:c>
      <x:c r="K42" s="233"/>
      <x:c r="L42" s="233"/>
      <x:c r="M42" s="459" t="str">
        <x:f t="shared" si="40"/>
        <x:v/>
      </x:c>
      <x:c r="N42" s="459" t="str">
        <x:f t="shared" si="41"/>
        <x:v/>
      </x:c>
      <x:c r="O42" s="461" t="str">
        <x:f t="shared" si="33"/>
        <x:v/>
      </x:c>
      <x:c r="P42" s="460"/>
      <x:c r="Q42" s="461">
        <x:f t="shared" si="34"/>
        <x:v>0</x:v>
      </x:c>
      <x:c r="R42" s="462"/>
      <x:c r="S42" s="463">
        <x:f t="shared" si="35"/>
        <x:v>0</x:v>
      </x:c>
      <x:c r="T42" s="162" t="str">
        <x:f t="shared" si="36"/>
        <x:v>X</x:v>
      </x:c>
      <x:c r="U42" s="220"/>
      <x:c r="V42" s="331"/>
      <x:c r="W42" s="221"/>
      <x:c r="X42" s="222"/>
      <x:c r="Y42" s="220"/>
      <x:c r="Z42" s="222"/>
      <x:c r="AA42" s="220"/>
      <x:c r="AC42" s="487">
        <x:f t="shared" si="37"/>
        <x:v>0</x:v>
      </x:c>
      <x:c r="AD42" s="487">
        <x:f t="shared" si="3"/>
        <x:v>0</x:v>
      </x:c>
      <x:c r="AE42" s="487">
        <x:f t="shared" si="4"/>
        <x:v>0</x:v>
      </x:c>
      <x:c r="AF42" s="374" t="str">
        <x:f t="shared" si="38"/>
        <x:v/>
      </x:c>
      <x:c r="AG42" s="165"/>
      <x:c r="AH42" s="487">
        <x:f t="shared" si="5"/>
        <x:v>0</x:v>
      </x:c>
      <x:c r="AI42" s="487">
        <x:f t="shared" si="6"/>
        <x:v>0</x:v>
      </x:c>
      <x:c r="AJ42" s="487">
        <x:f t="shared" si="7"/>
        <x:v>0</x:v>
      </x:c>
      <x:c r="AK42" s="374" t="str">
        <x:f t="shared" si="8"/>
        <x:v/>
      </x:c>
      <x:c r="AL42" s="8"/>
      <x:c r="AM42" s="533"/>
      <x:c r="AN42" s="374" t="str">
        <x:f>IF($AM42="","",IF($AM42="세입없음","OK",IF(COUNTIF('3. 일입'!$AN$8:$AN$2000,$AM42),"OK","@@")))</x:f>
        <x:v/>
      </x:c>
      <x:c r="AO42" s="356" t="str">
        <x:f t="shared" si="9"/>
        <x:v/>
      </x:c>
      <x:c r="AP42" s="374" t="str">
        <x:f t="shared" si="10"/>
        <x:v/>
      </x:c>
      <x:c r="AQ42" s="93"/>
      <x:c r="AR42" s="374" t="str">
        <x:f t="array" ref="AR42:AR42">IF(OR($D42="",$C42="직접입력",$B42="직접입력"),"",INDEX(구분표!$I$3:$I$321,MATCH(1,(구분표!$G$3:$G$321=$B42)*(구분표!$E$3:$E$321=$C42)*(구분표!$F$3:$F$321=$D42),0)))</x:f>
        <x:v/>
      </x:c>
      <x:c r="AS42" s="21"/>
    </x:row>
    <x:row r="43" spans="1:45" s="20" customFormat="1" ht="60" customHeight="1">
      <x:c r="A43" s="155" t="str">
        <x:f>IF(D43="","",COUNTA($C$7:C43)-COUNTBLANK($C$7:C43)+3)</x:f>
        <x:v/>
      </x:c>
      <x:c r="B43" s="156" t="str">
        <x: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x:f>
        <x:v/>
      </x:c>
      <x:c r="C43" s="156" t="str">
        <x:f>IF(D43="","",IF(OR(D43="교육지원과",D43="총무과",D43="인사과"),"직접입력",VLOOKUP(D43,구분표!$A$3:$C$258,3,)))</x:f>
        <x:v/>
      </x:c>
      <x:c r="D43" s="219"/>
      <x:c r="E43" s="213"/>
      <x:c r="F43" s="388" t="str">
        <x:f t="shared" si="39"/>
        <x:v/>
      </x:c>
      <x:c r="G43" s="388" t="str">
        <x:f t="shared" si="39"/>
        <x:v/>
      </x:c>
      <x:c r="H43" s="213"/>
      <x:c r="I43" s="156" t="str">
        <x:f>IF(H43="","",VLOOKUP($H43,구분표!$K$3:$M$151,2,FALSE))</x:f>
        <x:v/>
      </x:c>
      <x:c r="J43" s="156" t="str">
        <x:f>IF(I43="","",VLOOKUP($H43,구분표!$K$3:$M$151,3,FALSE))</x:f>
        <x:v/>
      </x:c>
      <x:c r="K43" s="233"/>
      <x:c r="L43" s="233"/>
      <x:c r="M43" s="459" t="str">
        <x:f t="shared" si="40"/>
        <x:v/>
      </x:c>
      <x:c r="N43" s="459" t="str">
        <x:f t="shared" si="41"/>
        <x:v/>
      </x:c>
      <x:c r="O43" s="461" t="str">
        <x:f t="shared" si="33"/>
        <x:v/>
      </x:c>
      <x:c r="P43" s="460"/>
      <x:c r="Q43" s="461">
        <x:f t="shared" si="34"/>
        <x:v>0</x:v>
      </x:c>
      <x:c r="R43" s="462"/>
      <x:c r="S43" s="463">
        <x:f t="shared" si="35"/>
        <x:v>0</x:v>
      </x:c>
      <x:c r="T43" s="162" t="str">
        <x:f t="shared" si="36"/>
        <x:v>X</x:v>
      </x:c>
      <x:c r="U43" s="220"/>
      <x:c r="V43" s="331"/>
      <x:c r="W43" s="221"/>
      <x:c r="X43" s="222"/>
      <x:c r="Y43" s="220"/>
      <x:c r="Z43" s="222"/>
      <x:c r="AA43" s="220"/>
      <x:c r="AC43" s="487">
        <x:f t="shared" si="37"/>
        <x:v>0</x:v>
      </x:c>
      <x:c r="AD43" s="487">
        <x:f t="shared" si="3"/>
        <x:v>0</x:v>
      </x:c>
      <x:c r="AE43" s="487">
        <x:f t="shared" si="4"/>
        <x:v>0</x:v>
      </x:c>
      <x:c r="AF43" s="374" t="str">
        <x:f t="shared" si="38"/>
        <x:v/>
      </x:c>
      <x:c r="AG43" s="165"/>
      <x:c r="AH43" s="487">
        <x:f t="shared" si="5"/>
        <x:v>0</x:v>
      </x:c>
      <x:c r="AI43" s="487">
        <x:f t="shared" si="6"/>
        <x:v>0</x:v>
      </x:c>
      <x:c r="AJ43" s="487">
        <x:f t="shared" si="7"/>
        <x:v>0</x:v>
      </x:c>
      <x:c r="AK43" s="374" t="str">
        <x:f t="shared" si="8"/>
        <x:v/>
      </x:c>
      <x:c r="AL43" s="8"/>
      <x:c r="AM43" s="533"/>
      <x:c r="AN43" s="374" t="str">
        <x:f>IF($AM43="","",IF($AM43="세입없음","OK",IF(COUNTIF('3. 일입'!$AN$8:$AN$2000,$AM43),"OK","@@")))</x:f>
        <x:v/>
      </x:c>
      <x:c r="AO43" s="356" t="str">
        <x:f t="shared" si="9"/>
        <x:v/>
      </x:c>
      <x:c r="AP43" s="374" t="str">
        <x:f t="shared" si="10"/>
        <x:v/>
      </x:c>
      <x:c r="AQ43" s="93"/>
      <x:c r="AR43" s="374" t="str">
        <x:f t="array" ref="AR43:AR43">IF(OR($D43="",$C43="직접입력",$B43="직접입력"),"",INDEX(구분표!$I$3:$I$321,MATCH(1,(구분표!$G$3:$G$321=$B43)*(구분표!$E$3:$E$321=$C43)*(구분표!$F$3:$F$321=$D43),0)))</x:f>
        <x:v/>
      </x:c>
      <x:c r="AS43" s="21"/>
    </x:row>
    <x:row r="44" spans="1:45" s="157" customFormat="1" ht="60" customHeight="1">
      <x:c r="A44" s="155" t="str">
        <x:f>IF(D44="","",COUNTA($C$7:C44)-COUNTBLANK($C$7:C44)+3)</x:f>
        <x:v/>
      </x:c>
      <x:c r="B44" s="156" t="str">
        <x: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x:f>
        <x:v/>
      </x:c>
      <x:c r="C44" s="156" t="str">
        <x:f>IF(D44="","",IF(OR(D44="교육지원과",D44="총무과",D44="인사과"),"직접입력",VLOOKUP(D44,구분표!$A$3:$C$258,3,)))</x:f>
        <x:v/>
      </x:c>
      <x:c r="D44" s="219"/>
      <x:c r="E44" s="213"/>
      <x:c r="F44" s="388" t="str">
        <x:f t="shared" si="39"/>
        <x:v/>
      </x:c>
      <x:c r="G44" s="388" t="str">
        <x:f t="shared" si="39"/>
        <x:v/>
      </x:c>
      <x:c r="H44" s="213"/>
      <x:c r="I44" s="156" t="str">
        <x:f>IF(H44="","",VLOOKUP($H44,구분표!$K$3:$M$151,2,FALSE))</x:f>
        <x:v/>
      </x:c>
      <x:c r="J44" s="156" t="str">
        <x:f>IF(I44="","",VLOOKUP($H44,구분표!$K$3:$M$151,3,FALSE))</x:f>
        <x:v/>
      </x:c>
      <x:c r="K44" s="233"/>
      <x:c r="L44" s="233"/>
      <x:c r="M44" s="459" t="str">
        <x:f t="shared" si="40"/>
        <x:v/>
      </x:c>
      <x:c r="N44" s="459" t="str">
        <x:f t="shared" si="41"/>
        <x:v/>
      </x:c>
      <x:c r="O44" s="461" t="str">
        <x:f t="shared" si="33"/>
        <x:v/>
      </x:c>
      <x:c r="P44" s="460"/>
      <x:c r="Q44" s="461">
        <x:f t="shared" si="34"/>
        <x:v>0</x:v>
      </x:c>
      <x:c r="R44" s="462"/>
      <x:c r="S44" s="463">
        <x:f t="shared" si="35"/>
        <x:v>0</x:v>
      </x:c>
      <x:c r="T44" s="162" t="str">
        <x:f t="shared" si="36"/>
        <x:v>X</x:v>
      </x:c>
      <x:c r="U44" s="220"/>
      <x:c r="V44" s="331"/>
      <x:c r="W44" s="221"/>
      <x:c r="X44" s="222"/>
      <x:c r="Y44" s="220"/>
      <x:c r="Z44" s="222"/>
      <x:c r="AA44" s="220"/>
      <x:c r="AB44" s="20"/>
      <x:c r="AC44" s="487">
        <x:f t="shared" si="37"/>
        <x:v>0</x:v>
      </x:c>
      <x:c r="AD44" s="487">
        <x:f t="shared" si="3"/>
        <x:v>0</x:v>
      </x:c>
      <x:c r="AE44" s="487">
        <x:f t="shared" si="4"/>
        <x:v>0</x:v>
      </x:c>
      <x:c r="AF44" s="374" t="str">
        <x:f t="shared" si="38"/>
        <x:v/>
      </x:c>
      <x:c r="AG44" s="165"/>
      <x:c r="AH44" s="487">
        <x:f t="shared" si="5"/>
        <x:v>0</x:v>
      </x:c>
      <x:c r="AI44" s="487">
        <x:f t="shared" si="6"/>
        <x:v>0</x:v>
      </x:c>
      <x:c r="AJ44" s="487">
        <x:f t="shared" si="7"/>
        <x:v>0</x:v>
      </x:c>
      <x:c r="AK44" s="374" t="str">
        <x:f t="shared" si="8"/>
        <x:v/>
      </x:c>
      <x:c r="AL44" s="8"/>
      <x:c r="AM44" s="533"/>
      <x:c r="AN44" s="374" t="str">
        <x:f>IF($AM44="","",IF($AM44="세입없음","OK",IF(COUNTIF('3. 일입'!$AN$8:$AN$2000,$AM44),"OK","@@")))</x:f>
        <x:v/>
      </x:c>
      <x:c r="AO44" s="356" t="str">
        <x:f t="shared" si="9"/>
        <x:v/>
      </x:c>
      <x:c r="AP44" s="374" t="str">
        <x:f t="shared" si="10"/>
        <x:v/>
      </x:c>
      <x:c r="AQ44" s="93"/>
      <x:c r="AR44" s="374" t="str">
        <x:f t="array" ref="AR44:AR44">IF(OR($D44="",$C44="직접입력",$B44="직접입력"),"",INDEX(구분표!$I$3:$I$321,MATCH(1,(구분표!$G$3:$G$321=$B44)*(구분표!$E$3:$E$321=$C44)*(구분표!$F$3:$F$321=$D44),0)))</x:f>
        <x:v/>
      </x:c>
      <x:c r="AS44" s="21"/>
    </x:row>
    <x:row r="45" spans="1:45" s="20" customFormat="1" ht="60" customHeight="1">
      <x:c r="A45" s="155" t="str">
        <x:f>IF(D45="","",COUNTA($C$7:C45)-COUNTBLANK($C$7:C45)+3)</x:f>
        <x:v/>
      </x:c>
      <x:c r="B45" s="156" t="str">
        <x: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x:f>
        <x:v/>
      </x:c>
      <x:c r="C45" s="156" t="str">
        <x:f>IF(D45="","",IF(OR(D45="교육지원과",D45="총무과",D45="인사과"),"직접입력",VLOOKUP(D45,구분표!$A$3:$C$258,3,)))</x:f>
        <x:v/>
      </x:c>
      <x:c r="D45" s="219"/>
      <x:c r="E45" s="213"/>
      <x:c r="F45" s="388" t="str">
        <x:f t="shared" si="39"/>
        <x:v/>
      </x:c>
      <x:c r="G45" s="388" t="str">
        <x:f t="shared" si="39"/>
        <x:v/>
      </x:c>
      <x:c r="H45" s="213"/>
      <x:c r="I45" s="156" t="str">
        <x:f>IF(H45="","",VLOOKUP($H45,구분표!$K$3:$M$151,2,FALSE))</x:f>
        <x:v/>
      </x:c>
      <x:c r="J45" s="156" t="str">
        <x:f>IF(I45="","",VLOOKUP($H45,구분표!$K$3:$M$151,3,FALSE))</x:f>
        <x:v/>
      </x:c>
      <x:c r="K45" s="233"/>
      <x:c r="L45" s="233"/>
      <x:c r="M45" s="459" t="str">
        <x:f t="shared" si="40"/>
        <x:v/>
      </x:c>
      <x:c r="N45" s="459" t="str">
        <x:f t="shared" si="41"/>
        <x:v/>
      </x:c>
      <x:c r="O45" s="461" t="str">
        <x:f t="shared" si="33"/>
        <x:v/>
      </x:c>
      <x:c r="P45" s="460"/>
      <x:c r="Q45" s="461">
        <x:f t="shared" si="34"/>
        <x:v>0</x:v>
      </x:c>
      <x:c r="R45" s="462"/>
      <x:c r="S45" s="463">
        <x:f t="shared" si="35"/>
        <x:v>0</x:v>
      </x:c>
      <x:c r="T45" s="162" t="str">
        <x:f t="shared" si="36"/>
        <x:v>X</x:v>
      </x:c>
      <x:c r="U45" s="220"/>
      <x:c r="V45" s="331"/>
      <x:c r="W45" s="221"/>
      <x:c r="X45" s="222"/>
      <x:c r="Y45" s="220"/>
      <x:c r="Z45" s="222"/>
      <x:c r="AA45" s="220"/>
      <x:c r="AC45" s="487">
        <x:f t="shared" si="37"/>
        <x:v>0</x:v>
      </x:c>
      <x:c r="AD45" s="487">
        <x:f t="shared" si="3"/>
        <x:v>0</x:v>
      </x:c>
      <x:c r="AE45" s="487">
        <x:f t="shared" si="4"/>
        <x:v>0</x:v>
      </x:c>
      <x:c r="AF45" s="374" t="str">
        <x:f t="shared" si="38"/>
        <x:v/>
      </x:c>
      <x:c r="AG45" s="165"/>
      <x:c r="AH45" s="487">
        <x:f t="shared" si="5"/>
        <x:v>0</x:v>
      </x:c>
      <x:c r="AI45" s="487">
        <x:f t="shared" si="6"/>
        <x:v>0</x:v>
      </x:c>
      <x:c r="AJ45" s="487">
        <x:f t="shared" si="7"/>
        <x:v>0</x:v>
      </x:c>
      <x:c r="AK45" s="374" t="str">
        <x:f t="shared" si="8"/>
        <x:v/>
      </x:c>
      <x:c r="AL45" s="8"/>
      <x:c r="AM45" s="533"/>
      <x:c r="AN45" s="374" t="str">
        <x:f>IF($AM45="","",IF($AM45="세입없음","OK",IF(COUNTIF('3. 일입'!$AN$8:$AN$2000,$AM45),"OK","@@")))</x:f>
        <x:v/>
      </x:c>
      <x:c r="AO45" s="356" t="str">
        <x:f t="shared" si="9"/>
        <x:v/>
      </x:c>
      <x:c r="AP45" s="374" t="str">
        <x:f t="shared" si="10"/>
        <x:v/>
      </x:c>
      <x:c r="AQ45" s="93"/>
      <x:c r="AR45" s="374" t="str">
        <x:f t="array" ref="AR45:AR45">IF(OR($D45="",$C45="직접입력",$B45="직접입력"),"",INDEX(구분표!$I$3:$I$321,MATCH(1,(구분표!$G$3:$G$321=$B45)*(구분표!$E$3:$E$321=$C45)*(구분표!$F$3:$F$321=$D45),0)))</x:f>
        <x:v/>
      </x:c>
      <x:c r="AS45" s="21"/>
    </x:row>
    <x:row r="46" spans="1:45" s="20" customFormat="1" ht="60" customHeight="1">
      <x:c r="A46" s="155" t="str">
        <x:f>IF(D46="","",COUNTA($C$7:C46)-COUNTBLANK($C$7:C46)+3)</x:f>
        <x:v/>
      </x:c>
      <x:c r="B46" s="156" t="str">
        <x: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x:f>
        <x:v/>
      </x:c>
      <x:c r="C46" s="156" t="str">
        <x:f>IF(D46="","",IF(OR(D46="교육지원과",D46="총무과",D46="인사과"),"직접입력",VLOOKUP(D46,구분표!$A$3:$C$258,3,)))</x:f>
        <x:v/>
      </x:c>
      <x:c r="D46" s="219"/>
      <x:c r="E46" s="213"/>
      <x:c r="F46" s="388" t="str">
        <x:f t="shared" si="39"/>
        <x:v/>
      </x:c>
      <x:c r="G46" s="388" t="str">
        <x:f t="shared" si="39"/>
        <x:v/>
      </x:c>
      <x:c r="H46" s="213"/>
      <x:c r="I46" s="156" t="str">
        <x:f>IF(H46="","",VLOOKUP($H46,구분표!$K$3:$M$151,2,FALSE))</x:f>
        <x:v/>
      </x:c>
      <x:c r="J46" s="156" t="str">
        <x:f>IF(I46="","",VLOOKUP($H46,구분표!$K$3:$M$151,3,FALSE))</x:f>
        <x:v/>
      </x:c>
      <x:c r="K46" s="233"/>
      <x:c r="L46" s="233"/>
      <x:c r="M46" s="459" t="str">
        <x:f t="shared" si="40"/>
        <x:v/>
      </x:c>
      <x:c r="N46" s="459" t="str">
        <x:f t="shared" si="41"/>
        <x:v/>
      </x:c>
      <x:c r="O46" s="461" t="str">
        <x:f t="shared" si="33"/>
        <x:v/>
      </x:c>
      <x:c r="P46" s="460"/>
      <x:c r="Q46" s="461">
        <x:f t="shared" si="34"/>
        <x:v>0</x:v>
      </x:c>
      <x:c r="R46" s="462"/>
      <x:c r="S46" s="463">
        <x:f t="shared" si="35"/>
        <x:v>0</x:v>
      </x:c>
      <x:c r="T46" s="162" t="str">
        <x:f t="shared" si="36"/>
        <x:v>X</x:v>
      </x:c>
      <x:c r="U46" s="220"/>
      <x:c r="V46" s="331"/>
      <x:c r="W46" s="221"/>
      <x:c r="X46" s="222"/>
      <x:c r="Y46" s="220"/>
      <x:c r="Z46" s="222"/>
      <x:c r="AA46" s="220"/>
      <x:c r="AC46" s="487">
        <x:f t="shared" si="37"/>
        <x:v>0</x:v>
      </x:c>
      <x:c r="AD46" s="487">
        <x:f t="shared" si="3"/>
        <x:v>0</x:v>
      </x:c>
      <x:c r="AE46" s="487">
        <x:f t="shared" si="4"/>
        <x:v>0</x:v>
      </x:c>
      <x:c r="AF46" s="374" t="str">
        <x:f t="shared" si="38"/>
        <x:v/>
      </x:c>
      <x:c r="AG46" s="165"/>
      <x:c r="AH46" s="487">
        <x:f t="shared" si="5"/>
        <x:v>0</x:v>
      </x:c>
      <x:c r="AI46" s="487">
        <x:f t="shared" si="6"/>
        <x:v>0</x:v>
      </x:c>
      <x:c r="AJ46" s="487">
        <x:f t="shared" si="7"/>
        <x:v>0</x:v>
      </x:c>
      <x:c r="AK46" s="374" t="str">
        <x:f t="shared" si="8"/>
        <x:v/>
      </x:c>
      <x:c r="AL46" s="8"/>
      <x:c r="AM46" s="533"/>
      <x:c r="AN46" s="374" t="str">
        <x:f>IF($AM46="","",IF($AM46="세입없음","OK",IF(COUNTIF('3. 일입'!$AN$8:$AN$2000,$AM46),"OK","@@")))</x:f>
        <x:v/>
      </x:c>
      <x:c r="AO46" s="356" t="str">
        <x:f t="shared" si="9"/>
        <x:v/>
      </x:c>
      <x:c r="AP46" s="374" t="str">
        <x:f t="shared" si="10"/>
        <x:v/>
      </x:c>
      <x:c r="AQ46" s="93"/>
      <x:c r="AR46" s="374" t="str">
        <x:f t="array" ref="AR46:AR46">IF(OR($D46="",$C46="직접입력",$B46="직접입력"),"",INDEX(구분표!$I$3:$I$321,MATCH(1,(구분표!$G$3:$G$321=$B46)*(구분표!$E$3:$E$321=$C46)*(구분표!$F$3:$F$321=$D46),0)))</x:f>
        <x:v/>
      </x:c>
      <x:c r="AS46" s="21"/>
    </x:row>
    <x:row r="47" spans="1:45" s="20" customFormat="1" ht="60" customHeight="1">
      <x:c r="A47" s="155" t="str">
        <x:f>IF(D47="","",COUNTA($C$7:C47)-COUNTBLANK($C$7:C47)+3)</x:f>
        <x:v/>
      </x:c>
      <x:c r="B47" s="156" t="str">
        <x: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x:f>
        <x:v/>
      </x:c>
      <x:c r="C47" s="156" t="str">
        <x:f>IF(D47="","",IF(OR(D47="교육지원과",D47="총무과",D47="인사과"),"직접입력",VLOOKUP(D47,구분표!$A$3:$C$258,3,)))</x:f>
        <x:v/>
      </x:c>
      <x:c r="D47" s="219"/>
      <x:c r="E47" s="213"/>
      <x:c r="F47" s="388" t="str">
        <x:f t="shared" si="39"/>
        <x:v/>
      </x:c>
      <x:c r="G47" s="388" t="str">
        <x:f t="shared" si="39"/>
        <x:v/>
      </x:c>
      <x:c r="H47" s="213"/>
      <x:c r="I47" s="156" t="str">
        <x:f>IF(H47="","",VLOOKUP($H47,구분표!$K$3:$M$151,2,FALSE))</x:f>
        <x:v/>
      </x:c>
      <x:c r="J47" s="156" t="str">
        <x:f>IF(I47="","",VLOOKUP($H47,구분표!$K$3:$M$151,3,FALSE))</x:f>
        <x:v/>
      </x:c>
      <x:c r="K47" s="233"/>
      <x:c r="L47" s="233"/>
      <x:c r="M47" s="459" t="str">
        <x:f t="shared" si="40"/>
        <x:v/>
      </x:c>
      <x:c r="N47" s="459" t="str">
        <x:f t="shared" si="41"/>
        <x:v/>
      </x:c>
      <x:c r="O47" s="461" t="str">
        <x:f t="shared" si="33"/>
        <x:v/>
      </x:c>
      <x:c r="P47" s="460"/>
      <x:c r="Q47" s="461">
        <x:f t="shared" si="34"/>
        <x:v>0</x:v>
      </x:c>
      <x:c r="R47" s="462"/>
      <x:c r="S47" s="463">
        <x:f t="shared" si="35"/>
        <x:v>0</x:v>
      </x:c>
      <x:c r="T47" s="162" t="str">
        <x:f t="shared" si="36"/>
        <x:v>X</x:v>
      </x:c>
      <x:c r="U47" s="220"/>
      <x:c r="V47" s="331"/>
      <x:c r="W47" s="221"/>
      <x:c r="X47" s="222"/>
      <x:c r="Y47" s="220"/>
      <x:c r="Z47" s="222"/>
      <x:c r="AA47" s="220"/>
      <x:c r="AC47" s="487">
        <x:f t="shared" si="37"/>
        <x:v>0</x:v>
      </x:c>
      <x:c r="AD47" s="487">
        <x:f t="shared" si="3"/>
        <x:v>0</x:v>
      </x:c>
      <x:c r="AE47" s="487">
        <x:f t="shared" si="4"/>
        <x:v>0</x:v>
      </x:c>
      <x:c r="AF47" s="374" t="str">
        <x:f t="shared" si="38"/>
        <x:v/>
      </x:c>
      <x:c r="AG47" s="165"/>
      <x:c r="AH47" s="487">
        <x:f t="shared" si="5"/>
        <x:v>0</x:v>
      </x:c>
      <x:c r="AI47" s="487">
        <x:f t="shared" si="6"/>
        <x:v>0</x:v>
      </x:c>
      <x:c r="AJ47" s="487">
        <x:f t="shared" si="7"/>
        <x:v>0</x:v>
      </x:c>
      <x:c r="AK47" s="374" t="str">
        <x:f t="shared" si="8"/>
        <x:v/>
      </x:c>
      <x:c r="AL47" s="8"/>
      <x:c r="AM47" s="533"/>
      <x:c r="AN47" s="374" t="str">
        <x:f>IF($AM47="","",IF($AM47="세입없음","OK",IF(COUNTIF('3. 일입'!$AN$8:$AN$2000,$AM47),"OK","@@")))</x:f>
        <x:v/>
      </x:c>
      <x:c r="AO47" s="356" t="str">
        <x:f t="shared" si="9"/>
        <x:v/>
      </x:c>
      <x:c r="AP47" s="374" t="str">
        <x:f t="shared" si="10"/>
        <x:v/>
      </x:c>
      <x:c r="AQ47" s="93"/>
      <x:c r="AR47" s="374" t="str">
        <x:f t="array" ref="AR47:AR47">IF(OR($D47="",$C47="직접입력",$B47="직접입력"),"",INDEX(구분표!$I$3:$I$321,MATCH(1,(구분표!$G$3:$G$321=$B47)*(구분표!$E$3:$E$321=$C47)*(구분표!$F$3:$F$321=$D47),0)))</x:f>
        <x:v/>
      </x:c>
      <x:c r="AS47" s="21"/>
    </x:row>
    <x:row r="48" spans="1:45" s="20" customFormat="1" ht="60" customHeight="1">
      <x:c r="A48" s="155" t="str">
        <x:f>IF(D48="","",COUNTA($C$7:C48)-COUNTBLANK($C$7:C48)+3)</x:f>
        <x:v/>
      </x:c>
      <x:c r="B48" s="156" t="str">
        <x: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x:f>
        <x:v/>
      </x:c>
      <x:c r="C48" s="156" t="str">
        <x:f>IF(D48="","",IF(OR(D48="교육지원과",D48="총무과",D48="인사과"),"직접입력",VLOOKUP(D48,구분표!$A$3:$C$258,3,)))</x:f>
        <x:v/>
      </x:c>
      <x:c r="D48" s="219"/>
      <x:c r="E48" s="213"/>
      <x:c r="F48" s="388" t="str">
        <x:f t="shared" si="39"/>
        <x:v/>
      </x:c>
      <x:c r="G48" s="388" t="str">
        <x:f t="shared" si="39"/>
        <x:v/>
      </x:c>
      <x:c r="H48" s="213"/>
      <x:c r="I48" s="156" t="str">
        <x:f>IF(H48="","",VLOOKUP($H48,구분표!$K$3:$M$151,2,FALSE))</x:f>
        <x:v/>
      </x:c>
      <x:c r="J48" s="156" t="str">
        <x:f>IF(I48="","",VLOOKUP($H48,구분표!$K$3:$M$151,3,FALSE))</x:f>
        <x:v/>
      </x:c>
      <x:c r="K48" s="233"/>
      <x:c r="L48" s="233"/>
      <x:c r="M48" s="459" t="str">
        <x:f t="shared" si="40"/>
        <x:v/>
      </x:c>
      <x:c r="N48" s="459" t="str">
        <x:f t="shared" si="41"/>
        <x:v/>
      </x:c>
      <x:c r="O48" s="461" t="str">
        <x:f t="shared" si="33"/>
        <x:v/>
      </x:c>
      <x:c r="P48" s="460"/>
      <x:c r="Q48" s="461">
        <x:f t="shared" si="34"/>
        <x:v>0</x:v>
      </x:c>
      <x:c r="R48" s="462"/>
      <x:c r="S48" s="463">
        <x:f t="shared" si="35"/>
        <x:v>0</x:v>
      </x:c>
      <x:c r="T48" s="162" t="str">
        <x:f t="shared" si="36"/>
        <x:v>X</x:v>
      </x:c>
      <x:c r="U48" s="220"/>
      <x:c r="V48" s="331"/>
      <x:c r="W48" s="221"/>
      <x:c r="X48" s="222"/>
      <x:c r="Y48" s="220"/>
      <x:c r="Z48" s="222"/>
      <x:c r="AA48" s="220"/>
      <x:c r="AC48" s="487">
        <x:f t="shared" si="37"/>
        <x:v>0</x:v>
      </x:c>
      <x:c r="AD48" s="487">
        <x:f t="shared" si="3"/>
        <x:v>0</x:v>
      </x:c>
      <x:c r="AE48" s="487">
        <x:f t="shared" si="4"/>
        <x:v>0</x:v>
      </x:c>
      <x:c r="AF48" s="374" t="str">
        <x:f t="shared" si="38"/>
        <x:v/>
      </x:c>
      <x:c r="AG48" s="165"/>
      <x:c r="AH48" s="487">
        <x:f t="shared" si="5"/>
        <x:v>0</x:v>
      </x:c>
      <x:c r="AI48" s="487">
        <x:f t="shared" si="6"/>
        <x:v>0</x:v>
      </x:c>
      <x:c r="AJ48" s="487">
        <x:f t="shared" si="7"/>
        <x:v>0</x:v>
      </x:c>
      <x:c r="AK48" s="374" t="str">
        <x:f t="shared" si="8"/>
        <x:v/>
      </x:c>
      <x:c r="AL48" s="8"/>
      <x:c r="AM48" s="533"/>
      <x:c r="AN48" s="374" t="str">
        <x:f>IF($AM48="","",IF($AM48="세입없음","OK",IF(COUNTIF('3. 일입'!$AN$8:$AN$2000,$AM48),"OK","@@")))</x:f>
        <x:v/>
      </x:c>
      <x:c r="AO48" s="356" t="str">
        <x:f t="shared" si="9"/>
        <x:v/>
      </x:c>
      <x:c r="AP48" s="374" t="str">
        <x:f t="shared" si="10"/>
        <x:v/>
      </x:c>
      <x:c r="AQ48" s="93"/>
      <x:c r="AR48" s="374" t="str">
        <x:f t="array" ref="AR48:AR48">IF(OR($D48="",$C48="직접입력",$B48="직접입력"),"",INDEX(구분표!$I$3:$I$321,MATCH(1,(구분표!$G$3:$G$321=$B48)*(구분표!$E$3:$E$321=$C48)*(구분표!$F$3:$F$321=$D48),0)))</x:f>
        <x:v/>
      </x:c>
      <x:c r="AS48" s="21"/>
    </x:row>
    <x:row r="49" spans="1:45" s="157" customFormat="1" ht="60" customHeight="1">
      <x:c r="A49" s="155" t="str">
        <x:f>IF(D49="","",COUNTA($C$7:C49)-COUNTBLANK($C$7:C49)+3)</x:f>
        <x:v/>
      </x:c>
      <x:c r="B49" s="156" t="str">
        <x: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x:f>
        <x:v/>
      </x:c>
      <x:c r="C49" s="156" t="str">
        <x:f>IF(D49="","",IF(OR(D49="교육지원과",D49="총무과",D49="인사과"),"직접입력",VLOOKUP(D49,구분표!$A$3:$C$258,3,)))</x:f>
        <x:v/>
      </x:c>
      <x:c r="D49" s="219"/>
      <x:c r="E49" s="213"/>
      <x:c r="F49" s="388" t="str">
        <x:f t="shared" si="39"/>
        <x:v/>
      </x:c>
      <x:c r="G49" s="388" t="str">
        <x:f t="shared" si="39"/>
        <x:v/>
      </x:c>
      <x:c r="H49" s="213"/>
      <x:c r="I49" s="156" t="str">
        <x:f>IF(H49="","",VLOOKUP($H49,구분표!$K$3:$M$151,2,FALSE))</x:f>
        <x:v/>
      </x:c>
      <x:c r="J49" s="156" t="str">
        <x:f>IF(I49="","",VLOOKUP($H49,구분표!$K$3:$M$151,3,FALSE))</x:f>
        <x:v/>
      </x:c>
      <x:c r="K49" s="233"/>
      <x:c r="L49" s="233"/>
      <x:c r="M49" s="459" t="str">
        <x:f t="shared" si="40"/>
        <x:v/>
      </x:c>
      <x:c r="N49" s="459" t="str">
        <x:f t="shared" si="41"/>
        <x:v/>
      </x:c>
      <x:c r="O49" s="461" t="str">
        <x:f t="shared" si="33"/>
        <x:v/>
      </x:c>
      <x:c r="P49" s="460"/>
      <x:c r="Q49" s="461">
        <x:f t="shared" si="34"/>
        <x:v>0</x:v>
      </x:c>
      <x:c r="R49" s="462"/>
      <x:c r="S49" s="463">
        <x:f t="shared" si="35"/>
        <x:v>0</x:v>
      </x:c>
      <x:c r="T49" s="162" t="str">
        <x:f t="shared" si="36"/>
        <x:v>X</x:v>
      </x:c>
      <x:c r="U49" s="220"/>
      <x:c r="V49" s="331"/>
      <x:c r="W49" s="221"/>
      <x:c r="X49" s="222"/>
      <x:c r="Y49" s="220"/>
      <x:c r="Z49" s="222"/>
      <x:c r="AA49" s="220"/>
      <x:c r="AB49" s="20"/>
      <x:c r="AC49" s="487">
        <x:f t="shared" si="37"/>
        <x:v>0</x:v>
      </x:c>
      <x:c r="AD49" s="487">
        <x:f t="shared" si="3"/>
        <x:v>0</x:v>
      </x:c>
      <x:c r="AE49" s="487">
        <x:f t="shared" si="4"/>
        <x:v>0</x:v>
      </x:c>
      <x:c r="AF49" s="374" t="str">
        <x:f t="shared" si="38"/>
        <x:v/>
      </x:c>
      <x:c r="AG49" s="165"/>
      <x:c r="AH49" s="487">
        <x:f t="shared" si="5"/>
        <x:v>0</x:v>
      </x:c>
      <x:c r="AI49" s="487">
        <x:f t="shared" si="6"/>
        <x:v>0</x:v>
      </x:c>
      <x:c r="AJ49" s="487">
        <x:f t="shared" si="7"/>
        <x:v>0</x:v>
      </x:c>
      <x:c r="AK49" s="374" t="str">
        <x:f t="shared" si="8"/>
        <x:v/>
      </x:c>
      <x:c r="AL49" s="8"/>
      <x:c r="AM49" s="533"/>
      <x:c r="AN49" s="374" t="str">
        <x:f>IF($AM49="","",IF($AM49="세입없음","OK",IF(COUNTIF('3. 일입'!$AN$8:$AN$2000,$AM49),"OK","@@")))</x:f>
        <x:v/>
      </x:c>
      <x:c r="AO49" s="356" t="str">
        <x:f t="shared" si="9"/>
        <x:v/>
      </x:c>
      <x:c r="AP49" s="374" t="str">
        <x:f t="shared" si="10"/>
        <x:v/>
      </x:c>
      <x:c r="AQ49" s="93"/>
      <x:c r="AR49" s="374" t="str">
        <x:f t="array" ref="AR49:AR49">IF(OR($D49="",$C49="직접입력",$B49="직접입력"),"",INDEX(구분표!$I$3:$I$321,MATCH(1,(구분표!$G$3:$G$321=$B49)*(구분표!$E$3:$E$321=$C49)*(구분표!$F$3:$F$321=$D49),0)))</x:f>
        <x:v/>
      </x:c>
      <x:c r="AS49" s="21"/>
    </x:row>
    <x:row r="50" spans="1:45" s="20" customFormat="1" ht="60" customHeight="1">
      <x:c r="A50" s="155" t="str">
        <x:f>IF(D50="","",COUNTA($C$7:C50)-COUNTBLANK($C$7:C50)+3)</x:f>
        <x:v/>
      </x:c>
      <x:c r="B50" s="156" t="str">
        <x: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x:f>
        <x:v/>
      </x:c>
      <x:c r="C50" s="156" t="str">
        <x:f>IF(D50="","",IF(OR(D50="교육지원과",D50="총무과",D50="인사과"),"직접입력",VLOOKUP(D50,구분표!$A$3:$C$258,3,)))</x:f>
        <x:v/>
      </x:c>
      <x:c r="D50" s="219"/>
      <x:c r="E50" s="213"/>
      <x:c r="F50" s="388" t="str">
        <x:f t="shared" si="39"/>
        <x:v/>
      </x:c>
      <x:c r="G50" s="388" t="str">
        <x:f t="shared" si="39"/>
        <x:v/>
      </x:c>
      <x:c r="H50" s="213"/>
      <x:c r="I50" s="156" t="str">
        <x:f>IF(H50="","",VLOOKUP($H50,구분표!$K$3:$M$151,2,FALSE))</x:f>
        <x:v/>
      </x:c>
      <x:c r="J50" s="156" t="str">
        <x:f>IF(I50="","",VLOOKUP($H50,구분표!$K$3:$M$151,3,FALSE))</x:f>
        <x:v/>
      </x:c>
      <x:c r="K50" s="233"/>
      <x:c r="L50" s="233"/>
      <x:c r="M50" s="459" t="str">
        <x:f t="shared" si="40"/>
        <x:v/>
      </x:c>
      <x:c r="N50" s="459" t="str">
        <x:f t="shared" si="41"/>
        <x:v/>
      </x:c>
      <x:c r="O50" s="461" t="str">
        <x:f t="shared" si="33"/>
        <x:v/>
      </x:c>
      <x:c r="P50" s="460"/>
      <x:c r="Q50" s="461">
        <x:f t="shared" si="34"/>
        <x:v>0</x:v>
      </x:c>
      <x:c r="R50" s="462"/>
      <x:c r="S50" s="463">
        <x:f t="shared" si="35"/>
        <x:v>0</x:v>
      </x:c>
      <x:c r="T50" s="162" t="str">
        <x:f t="shared" si="36"/>
        <x:v>X</x:v>
      </x:c>
      <x:c r="U50" s="220"/>
      <x:c r="V50" s="331"/>
      <x:c r="W50" s="221"/>
      <x:c r="X50" s="222"/>
      <x:c r="Y50" s="220"/>
      <x:c r="Z50" s="222"/>
      <x:c r="AA50" s="220"/>
      <x:c r="AC50" s="487">
        <x:f t="shared" si="37"/>
        <x:v>0</x:v>
      </x:c>
      <x:c r="AD50" s="487">
        <x:f t="shared" si="3"/>
        <x:v>0</x:v>
      </x:c>
      <x:c r="AE50" s="487">
        <x:f t="shared" si="4"/>
        <x:v>0</x:v>
      </x:c>
      <x:c r="AF50" s="374" t="str">
        <x:f t="shared" si="38"/>
        <x:v/>
      </x:c>
      <x:c r="AG50" s="165"/>
      <x:c r="AH50" s="487">
        <x:f t="shared" si="5"/>
        <x:v>0</x:v>
      </x:c>
      <x:c r="AI50" s="487">
        <x:f t="shared" si="6"/>
        <x:v>0</x:v>
      </x:c>
      <x:c r="AJ50" s="487">
        <x:f t="shared" si="7"/>
        <x:v>0</x:v>
      </x:c>
      <x:c r="AK50" s="374" t="str">
        <x:f t="shared" si="8"/>
        <x:v/>
      </x:c>
      <x:c r="AL50" s="8"/>
      <x:c r="AM50" s="533"/>
      <x:c r="AN50" s="374" t="str">
        <x:f>IF($AM50="","",IF($AM50="세입없음","OK",IF(COUNTIF('3. 일입'!$AN$8:$AN$2000,$AM50),"OK","@@")))</x:f>
        <x:v/>
      </x:c>
      <x:c r="AO50" s="356" t="str">
        <x:f t="shared" si="9"/>
        <x:v/>
      </x:c>
      <x:c r="AP50" s="374" t="str">
        <x:f t="shared" si="10"/>
        <x:v/>
      </x:c>
      <x:c r="AQ50" s="93"/>
      <x:c r="AR50" s="374" t="str">
        <x:f t="array" ref="AR50:AR50">IF(OR($D50="",$C50="직접입력",$B50="직접입력"),"",INDEX(구분표!$I$3:$I$321,MATCH(1,(구분표!$G$3:$G$321=$B50)*(구분표!$E$3:$E$321=$C50)*(구분표!$F$3:$F$321=$D50),0)))</x:f>
        <x:v/>
      </x:c>
      <x:c r="AS50" s="21"/>
    </x:row>
    <x:row r="51" spans="1:45" s="20" customFormat="1" ht="60" customHeight="1">
      <x:c r="A51" s="155" t="str">
        <x:f>IF(D51="","",COUNTA($C$7:C51)-COUNTBLANK($C$7:C51)+3)</x:f>
        <x:v/>
      </x:c>
      <x:c r="B51" s="156" t="str">
        <x: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x:f>
        <x:v/>
      </x:c>
      <x:c r="C51" s="156" t="str">
        <x:f>IF(D51="","",IF(OR(D51="교육지원과",D51="총무과",D51="인사과"),"직접입력",VLOOKUP(D51,구분표!$A$3:$C$258,3,)))</x:f>
        <x:v/>
      </x:c>
      <x:c r="D51" s="219"/>
      <x:c r="E51" s="213"/>
      <x:c r="F51" s="388" t="str">
        <x:f t="shared" si="39"/>
        <x:v/>
      </x:c>
      <x:c r="G51" s="388" t="str">
        <x:f t="shared" si="39"/>
        <x:v/>
      </x:c>
      <x:c r="H51" s="213"/>
      <x:c r="I51" s="156" t="str">
        <x:f>IF(H51="","",VLOOKUP($H51,구분표!$K$3:$M$151,2,FALSE))</x:f>
        <x:v/>
      </x:c>
      <x:c r="J51" s="156" t="str">
        <x:f>IF(I51="","",VLOOKUP($H51,구분표!$K$3:$M$151,3,FALSE))</x:f>
        <x:v/>
      </x:c>
      <x:c r="K51" s="233"/>
      <x:c r="L51" s="233"/>
      <x:c r="M51" s="459" t="str">
        <x:f t="shared" si="40"/>
        <x:v/>
      </x:c>
      <x:c r="N51" s="459" t="str">
        <x:f t="shared" si="41"/>
        <x:v/>
      </x:c>
      <x:c r="O51" s="461" t="str">
        <x:f t="shared" si="33"/>
        <x:v/>
      </x:c>
      <x:c r="P51" s="460"/>
      <x:c r="Q51" s="461">
        <x:f t="shared" si="34"/>
        <x:v>0</x:v>
      </x:c>
      <x:c r="R51" s="462"/>
      <x:c r="S51" s="463">
        <x:f t="shared" si="35"/>
        <x:v>0</x:v>
      </x:c>
      <x:c r="T51" s="162" t="str">
        <x:f t="shared" si="36"/>
        <x:v>X</x:v>
      </x:c>
      <x:c r="U51" s="220"/>
      <x:c r="V51" s="331"/>
      <x:c r="W51" s="221"/>
      <x:c r="X51" s="222"/>
      <x:c r="Y51" s="220"/>
      <x:c r="Z51" s="222"/>
      <x:c r="AA51" s="220"/>
      <x:c r="AC51" s="487">
        <x:f t="shared" si="37"/>
        <x:v>0</x:v>
      </x:c>
      <x:c r="AD51" s="487">
        <x:f t="shared" si="3"/>
        <x:v>0</x:v>
      </x:c>
      <x:c r="AE51" s="487">
        <x:f t="shared" si="4"/>
        <x:v>0</x:v>
      </x:c>
      <x:c r="AF51" s="374" t="str">
        <x:f t="shared" si="38"/>
        <x:v/>
      </x:c>
      <x:c r="AG51" s="165"/>
      <x:c r="AH51" s="487">
        <x:f t="shared" si="5"/>
        <x:v>0</x:v>
      </x:c>
      <x:c r="AI51" s="487">
        <x:f t="shared" si="6"/>
        <x:v>0</x:v>
      </x:c>
      <x:c r="AJ51" s="487">
        <x:f t="shared" si="7"/>
        <x:v>0</x:v>
      </x:c>
      <x:c r="AK51" s="374" t="str">
        <x:f t="shared" si="8"/>
        <x:v/>
      </x:c>
      <x:c r="AL51" s="8"/>
      <x:c r="AM51" s="533"/>
      <x:c r="AN51" s="374" t="str">
        <x:f>IF($AM51="","",IF($AM51="세입없음","OK",IF(COUNTIF('3. 일입'!$AN$8:$AN$2000,$AM51),"OK","@@")))</x:f>
        <x:v/>
      </x:c>
      <x:c r="AO51" s="356" t="str">
        <x:f t="shared" si="9"/>
        <x:v/>
      </x:c>
      <x:c r="AP51" s="374" t="str">
        <x:f t="shared" si="10"/>
        <x:v/>
      </x:c>
      <x:c r="AQ51" s="93"/>
      <x:c r="AR51" s="374" t="str">
        <x:f t="array" ref="AR51:AR51">IF(OR($D51="",$C51="직접입력",$B51="직접입력"),"",INDEX(구분표!$I$3:$I$321,MATCH(1,(구분표!$G$3:$G$321=$B51)*(구분표!$E$3:$E$321=$C51)*(구분표!$F$3:$F$321=$D51),0)))</x:f>
        <x:v/>
      </x:c>
      <x:c r="AS51" s="21"/>
    </x:row>
    <x:row r="52" spans="1:45" s="20" customFormat="1" ht="60" customHeight="1">
      <x:c r="A52" s="155" t="str">
        <x:f>IF(D52="","",COUNTA($C$7:C52)-COUNTBLANK($C$7:C52)+3)</x:f>
        <x:v/>
      </x:c>
      <x:c r="B52" s="156" t="str">
        <x: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x:f>
        <x:v/>
      </x:c>
      <x:c r="C52" s="156" t="str">
        <x:f>IF(D52="","",IF(OR(D52="교육지원과",D52="총무과",D52="인사과"),"직접입력",VLOOKUP(D52,구분표!$A$3:$C$258,3,)))</x:f>
        <x:v/>
      </x:c>
      <x:c r="D52" s="219"/>
      <x:c r="E52" s="213"/>
      <x:c r="F52" s="388" t="str">
        <x:f t="shared" si="39"/>
        <x:v/>
      </x:c>
      <x:c r="G52" s="388" t="str">
        <x:f t="shared" si="39"/>
        <x:v/>
      </x:c>
      <x:c r="H52" s="213"/>
      <x:c r="I52" s="156" t="str">
        <x:f>IF(H52="","",VLOOKUP($H52,구분표!$K$3:$M$151,2,FALSE))</x:f>
        <x:v/>
      </x:c>
      <x:c r="J52" s="156" t="str">
        <x:f>IF(I52="","",VLOOKUP($H52,구분표!$K$3:$M$151,3,FALSE))</x:f>
        <x:v/>
      </x:c>
      <x:c r="K52" s="233"/>
      <x:c r="L52" s="233"/>
      <x:c r="M52" s="459" t="str">
        <x:f t="shared" si="40"/>
        <x:v/>
      </x:c>
      <x:c r="N52" s="459" t="str">
        <x:f t="shared" si="41"/>
        <x:v/>
      </x:c>
      <x:c r="O52" s="461" t="str">
        <x:f t="shared" si="33"/>
        <x:v/>
      </x:c>
      <x:c r="P52" s="460"/>
      <x:c r="Q52" s="461">
        <x:f t="shared" si="34"/>
        <x:v>0</x:v>
      </x:c>
      <x:c r="R52" s="462"/>
      <x:c r="S52" s="463">
        <x:f t="shared" si="35"/>
        <x:v>0</x:v>
      </x:c>
      <x:c r="T52" s="162" t="str">
        <x:f t="shared" si="36"/>
        <x:v>X</x:v>
      </x:c>
      <x:c r="U52" s="220"/>
      <x:c r="V52" s="331"/>
      <x:c r="W52" s="221"/>
      <x:c r="X52" s="222"/>
      <x:c r="Y52" s="220"/>
      <x:c r="Z52" s="222"/>
      <x:c r="AA52" s="220"/>
      <x:c r="AC52" s="487">
        <x:f t="shared" si="37"/>
        <x:v>0</x:v>
      </x:c>
      <x:c r="AD52" s="487">
        <x:f t="shared" si="3"/>
        <x:v>0</x:v>
      </x:c>
      <x:c r="AE52" s="487">
        <x:f t="shared" si="4"/>
        <x:v>0</x:v>
      </x:c>
      <x:c r="AF52" s="374" t="str">
        <x:f t="shared" si="38"/>
        <x:v/>
      </x:c>
      <x:c r="AG52" s="165"/>
      <x:c r="AH52" s="487">
        <x:f t="shared" si="5"/>
        <x:v>0</x:v>
      </x:c>
      <x:c r="AI52" s="487">
        <x:f t="shared" si="6"/>
        <x:v>0</x:v>
      </x:c>
      <x:c r="AJ52" s="487">
        <x:f t="shared" si="7"/>
        <x:v>0</x:v>
      </x:c>
      <x:c r="AK52" s="374" t="str">
        <x:f t="shared" si="8"/>
        <x:v/>
      </x:c>
      <x:c r="AL52" s="8"/>
      <x:c r="AM52" s="533"/>
      <x:c r="AN52" s="374" t="str">
        <x:f>IF($AM52="","",IF($AM52="세입없음","OK",IF(COUNTIF('3. 일입'!$AN$8:$AN$2000,$AM52),"OK","@@")))</x:f>
        <x:v/>
      </x:c>
      <x:c r="AO52" s="356" t="str">
        <x:f t="shared" si="9"/>
        <x:v/>
      </x:c>
      <x:c r="AP52" s="374" t="str">
        <x:f t="shared" si="10"/>
        <x:v/>
      </x:c>
      <x:c r="AQ52" s="93"/>
      <x:c r="AR52" s="374" t="str">
        <x:f t="array" ref="AR52:AR52">IF(OR($D52="",$C52="직접입력",$B52="직접입력"),"",INDEX(구분표!$I$3:$I$321,MATCH(1,(구분표!$G$3:$G$321=$B52)*(구분표!$E$3:$E$321=$C52)*(구분표!$F$3:$F$321=$D52),0)))</x:f>
        <x:v/>
      </x:c>
      <x:c r="AS52" s="21"/>
    </x:row>
    <x:row r="53" spans="1:45" s="20" customFormat="1" ht="60" customHeight="1">
      <x:c r="A53" s="155" t="str">
        <x:f>IF(D53="","",COUNTA($C$7:C53)-COUNTBLANK($C$7:C53)+3)</x:f>
        <x:v/>
      </x:c>
      <x:c r="B53" s="156" t="str">
        <x: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x:f>
        <x:v/>
      </x:c>
      <x:c r="C53" s="156" t="str">
        <x:f>IF(D53="","",IF(OR(D53="교육지원과",D53="총무과",D53="인사과"),"직접입력",VLOOKUP(D53,구분표!$A$3:$C$258,3,)))</x:f>
        <x:v/>
      </x:c>
      <x:c r="D53" s="219"/>
      <x:c r="E53" s="213"/>
      <x:c r="F53" s="388" t="str">
        <x:f t="shared" si="39"/>
        <x:v/>
      </x:c>
      <x:c r="G53" s="388" t="str">
        <x:f t="shared" si="39"/>
        <x:v/>
      </x:c>
      <x:c r="H53" s="213"/>
      <x:c r="I53" s="156" t="str">
        <x:f>IF(H53="","",VLOOKUP($H53,구분표!$K$3:$M$151,2,FALSE))</x:f>
        <x:v/>
      </x:c>
      <x:c r="J53" s="156" t="str">
        <x:f>IF(I53="","",VLOOKUP($H53,구분표!$K$3:$M$151,3,FALSE))</x:f>
        <x:v/>
      </x:c>
      <x:c r="K53" s="233"/>
      <x:c r="L53" s="233"/>
      <x:c r="M53" s="459" t="str">
        <x:f t="shared" si="40"/>
        <x:v/>
      </x:c>
      <x:c r="N53" s="459" t="str">
        <x:f t="shared" si="41"/>
        <x:v/>
      </x:c>
      <x:c r="O53" s="461" t="str">
        <x:f t="shared" si="33"/>
        <x:v/>
      </x:c>
      <x:c r="P53" s="460"/>
      <x:c r="Q53" s="461">
        <x:f t="shared" si="34"/>
        <x:v>0</x:v>
      </x:c>
      <x:c r="R53" s="462"/>
      <x:c r="S53" s="463">
        <x:f t="shared" si="35"/>
        <x:v>0</x:v>
      </x:c>
      <x:c r="T53" s="162" t="str">
        <x:f t="shared" si="36"/>
        <x:v>X</x:v>
      </x:c>
      <x:c r="U53" s="220"/>
      <x:c r="V53" s="331"/>
      <x:c r="W53" s="221"/>
      <x:c r="X53" s="222"/>
      <x:c r="Y53" s="220"/>
      <x:c r="Z53" s="222"/>
      <x:c r="AA53" s="220"/>
      <x:c r="AC53" s="487">
        <x:f t="shared" si="37"/>
        <x:v>0</x:v>
      </x:c>
      <x:c r="AD53" s="487">
        <x:f t="shared" si="3"/>
        <x:v>0</x:v>
      </x:c>
      <x:c r="AE53" s="487">
        <x:f t="shared" si="4"/>
        <x:v>0</x:v>
      </x:c>
      <x:c r="AF53" s="374" t="str">
        <x:f t="shared" si="38"/>
        <x:v/>
      </x:c>
      <x:c r="AG53" s="165"/>
      <x:c r="AH53" s="487">
        <x:f t="shared" si="5"/>
        <x:v>0</x:v>
      </x:c>
      <x:c r="AI53" s="487">
        <x:f t="shared" si="6"/>
        <x:v>0</x:v>
      </x:c>
      <x:c r="AJ53" s="487">
        <x:f t="shared" si="7"/>
        <x:v>0</x:v>
      </x:c>
      <x:c r="AK53" s="374" t="str">
        <x:f t="shared" si="8"/>
        <x:v/>
      </x:c>
      <x:c r="AL53" s="8"/>
      <x:c r="AM53" s="533"/>
      <x:c r="AN53" s="374" t="str">
        <x:f>IF($AM53="","",IF($AM53="세입없음","OK",IF(COUNTIF('3. 일입'!$AN$8:$AN$2000,$AM53),"OK","@@")))</x:f>
        <x:v/>
      </x:c>
      <x:c r="AO53" s="356" t="str">
        <x:f t="shared" si="9"/>
        <x:v/>
      </x:c>
      <x:c r="AP53" s="374" t="str">
        <x:f t="shared" si="10"/>
        <x:v/>
      </x:c>
      <x:c r="AQ53" s="93"/>
      <x:c r="AR53" s="374" t="str">
        <x:f t="array" ref="AR53:AR53">IF(OR($D53="",$C53="직접입력",$B53="직접입력"),"",INDEX(구분표!$I$3:$I$321,MATCH(1,(구분표!$G$3:$G$321=$B53)*(구분표!$E$3:$E$321=$C53)*(구분표!$F$3:$F$321=$D53),0)))</x:f>
        <x:v/>
      </x:c>
      <x:c r="AS53" s="21"/>
    </x:row>
    <x:row r="54" spans="1:45" s="157" customFormat="1" ht="60" customHeight="1">
      <x:c r="A54" s="155" t="str">
        <x:f>IF(D54="","",COUNTA($C$7:C54)-COUNTBLANK($C$7:C54)+3)</x:f>
        <x:v/>
      </x:c>
      <x:c r="B54" s="156" t="str">
        <x: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x:f>
        <x:v/>
      </x:c>
      <x:c r="C54" s="156" t="str">
        <x:f>IF(D54="","",IF(OR(D54="교육지원과",D54="총무과",D54="인사과"),"직접입력",VLOOKUP(D54,구분표!$A$3:$C$258,3,)))</x:f>
        <x:v/>
      </x:c>
      <x:c r="D54" s="219"/>
      <x:c r="E54" s="213"/>
      <x:c r="F54" s="388" t="str">
        <x:f t="shared" si="39"/>
        <x:v/>
      </x:c>
      <x:c r="G54" s="388" t="str">
        <x:f t="shared" si="39"/>
        <x:v/>
      </x:c>
      <x:c r="H54" s="213"/>
      <x:c r="I54" s="156" t="str">
        <x:f>IF(H54="","",VLOOKUP($H54,구분표!$K$3:$M$151,2,FALSE))</x:f>
        <x:v/>
      </x:c>
      <x:c r="J54" s="156" t="str">
        <x:f>IF(I54="","",VLOOKUP($H54,구분표!$K$3:$M$151,3,FALSE))</x:f>
        <x:v/>
      </x:c>
      <x:c r="K54" s="233"/>
      <x:c r="L54" s="233"/>
      <x:c r="M54" s="459" t="str">
        <x:f t="shared" si="40"/>
        <x:v/>
      </x:c>
      <x:c r="N54" s="459" t="str">
        <x:f t="shared" si="41"/>
        <x:v/>
      </x:c>
      <x:c r="O54" s="461" t="str">
        <x:f t="shared" si="33"/>
        <x:v/>
      </x:c>
      <x:c r="P54" s="460"/>
      <x:c r="Q54" s="461">
        <x:f t="shared" si="34"/>
        <x:v>0</x:v>
      </x:c>
      <x:c r="R54" s="462"/>
      <x:c r="S54" s="463">
        <x:f t="shared" si="35"/>
        <x:v>0</x:v>
      </x:c>
      <x:c r="T54" s="162" t="str">
        <x:f t="shared" si="36"/>
        <x:v>X</x:v>
      </x:c>
      <x:c r="U54" s="220"/>
      <x:c r="V54" s="331"/>
      <x:c r="W54" s="221"/>
      <x:c r="X54" s="222"/>
      <x:c r="Y54" s="220"/>
      <x:c r="Z54" s="222"/>
      <x:c r="AA54" s="220"/>
      <x:c r="AB54" s="20"/>
      <x:c r="AC54" s="487">
        <x:f t="shared" si="37"/>
        <x:v>0</x:v>
      </x:c>
      <x:c r="AD54" s="487">
        <x:f t="shared" si="3"/>
        <x:v>0</x:v>
      </x:c>
      <x:c r="AE54" s="487">
        <x:f t="shared" si="4"/>
        <x:v>0</x:v>
      </x:c>
      <x:c r="AF54" s="374" t="str">
        <x:f t="shared" si="38"/>
        <x:v/>
      </x:c>
      <x:c r="AG54" s="165"/>
      <x:c r="AH54" s="487">
        <x:f t="shared" si="5"/>
        <x:v>0</x:v>
      </x:c>
      <x:c r="AI54" s="487">
        <x:f t="shared" si="6"/>
        <x:v>0</x:v>
      </x:c>
      <x:c r="AJ54" s="487">
        <x:f t="shared" si="7"/>
        <x:v>0</x:v>
      </x:c>
      <x:c r="AK54" s="374" t="str">
        <x:f t="shared" si="8"/>
        <x:v/>
      </x:c>
      <x:c r="AL54" s="8"/>
      <x:c r="AM54" s="533"/>
      <x:c r="AN54" s="374" t="str">
        <x:f>IF($AM54="","",IF($AM54="세입없음","OK",IF(COUNTIF('3. 일입'!$AN$8:$AN$2000,$AM54),"OK","@@")))</x:f>
        <x:v/>
      </x:c>
      <x:c r="AO54" s="356" t="str">
        <x:f t="shared" si="9"/>
        <x:v/>
      </x:c>
      <x:c r="AP54" s="374" t="str">
        <x:f t="shared" si="10"/>
        <x:v/>
      </x:c>
      <x:c r="AQ54" s="93"/>
      <x:c r="AR54" s="374" t="str">
        <x:f t="array" ref="AR54:AR54">IF(OR($D54="",$C54="직접입력",$B54="직접입력"),"",INDEX(구분표!$I$3:$I$321,MATCH(1,(구분표!$G$3:$G$321=$B54)*(구분표!$E$3:$E$321=$C54)*(구분표!$F$3:$F$321=$D54),0)))</x:f>
        <x:v/>
      </x:c>
      <x:c r="AS54" s="21"/>
    </x:row>
    <x:row r="55" spans="1:45" s="336" customFormat="1" ht="60" customHeight="1">
      <x:c r="A55" s="335"/>
      <x:c r="B55" s="971" t="s">
        <x:v>1526</x:v>
      </x:c>
      <x:c r="C55" s="971"/>
      <x:c r="D55" s="971"/>
      <x:c r="E55" s="971"/>
      <x:c r="F55" s="971"/>
      <x:c r="G55" s="971"/>
      <x:c r="H55" s="244"/>
      <x:c r="I55" s="357"/>
      <x:c r="J55" s="357"/>
      <x:c r="K55" s="418"/>
      <x:c r="L55" s="419" t="str">
        <x:f>SUBTOTAL(3,L56:L70)&amp;"건"</x:f>
        <x:v>0건</x:v>
      </x:c>
      <x:c r="M55" s="476">
        <x:f t="shared" ref="M55:N55" si="42">SUBTOTAL(9,M56:M70)</x:f>
        <x:v>0</x:v>
      </x:c>
      <x:c r="N55" s="476">
        <x:f t="shared" si="42"/>
        <x:v>0</x:v>
      </x:c>
      <x:c r="O55" s="476">
        <x:f t="shared" ref="O55:S55" si="43">SUBTOTAL(9,O56:O70)</x:f>
        <x:v>0</x:v>
      </x:c>
      <x:c r="P55" s="476">
        <x:f t="shared" si="43"/>
        <x:v>0</x:v>
      </x:c>
      <x:c r="Q55" s="476">
        <x:f t="shared" si="43"/>
        <x:v>0</x:v>
      </x:c>
      <x:c r="R55" s="476">
        <x:f t="shared" si="43"/>
        <x:v>0</x:v>
      </x:c>
      <x:c r="S55" s="476">
        <x:f t="shared" si="43"/>
        <x:v>0</x:v>
      </x:c>
      <x:c r="T55" s="416"/>
      <x:c r="U55" s="420"/>
      <x:c r="V55" s="420"/>
      <x:c r="W55" s="186"/>
      <x:c r="X55" s="186"/>
      <x:c r="Y55" s="186"/>
      <x:c r="Z55" s="187"/>
      <x:c r="AA55" s="186"/>
      <x:c r="AC55" s="481">
        <x:f>SUBTOTAL(9,AC56:AC70)</x:f>
        <x:v>0</x:v>
      </x:c>
      <x:c r="AD55" s="481">
        <x:f>SUBTOTAL(9,AD56:AD70)</x:f>
        <x:v>0</x:v>
      </x:c>
      <x:c r="AE55" s="481">
        <x:f>SUBTOTAL(9,AE56:AE70)</x:f>
        <x:v>0</x:v>
      </x:c>
      <x:c r="AF55" s="554" t="str">
        <x:f>IF(COUNTIF(AF56:AF70,"@@")&gt;0,"@@","OK")</x:f>
        <x:v>OK</x:v>
      </x:c>
      <x:c r="AG55" s="165"/>
      <x:c r="AH55" s="481">
        <x:f>SUBTOTAL(9,AH56:AH70)</x:f>
        <x:v>0</x:v>
      </x:c>
      <x:c r="AI55" s="481">
        <x:f>SUBTOTAL(9,AI56:AI70)</x:f>
        <x:v>0</x:v>
      </x:c>
      <x:c r="AJ55" s="481">
        <x:f>SUBTOTAL(9,AJ56:AJ70)</x:f>
        <x:v>0</x:v>
      </x:c>
      <x:c r="AK55" s="554" t="str">
        <x:f>IF(COUNTIF(AK56:AK70,"@@")&gt;0,"@@","OK")</x:f>
        <x:v>OK</x:v>
      </x:c>
      <x:c r="AL55" s="165"/>
      <x:c r="AM55" s="422"/>
      <x:c r="AN55" s="554" t="str">
        <x:f>IF(COUNTIF(AN56:AN70,"@@")&gt;0,"@@","OK")</x:f>
        <x:v>OK</x:v>
      </x:c>
      <x:c r="AO55" s="422"/>
      <x:c r="AP55" s="554" t="str">
        <x:f>IF(COUNTIF(AP56:AP70,"@@")&gt;0,"@@","OK")</x:f>
        <x:v>OK</x:v>
      </x:c>
      <x:c r="AQ55" s="164"/>
      <x:c r="AR55" s="422"/>
      <x:c r="AS55" s="21"/>
    </x:row>
    <x:row r="56" spans="1:45" s="20" customFormat="1" ht="60" customHeight="1">
      <x:c r="A56" s="155" t="str">
        <x:f>IF(D56="","",COUNTA($C$7:C56)-COUNTBLANK($C$7:C56)+4)</x:f>
        <x:v/>
      </x:c>
      <x:c r="B56" s="156" t="str">
        <x: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x:f>
        <x:v/>
      </x:c>
      <x:c r="C56" s="156" t="str">
        <x:f>IF(D56="","",IF(OR(D56="교육지원과",D56="총무과",D56="인사과"),"직접입력",VLOOKUP(D56,구분표!$A$3:$C$258,3,)))</x:f>
        <x:v/>
      </x:c>
      <x:c r="D56" s="219"/>
      <x:c r="E56" s="213"/>
      <x:c r="F56" s="388" t="str">
        <x:f>IF($E56="","",IF($E56="2추","직접입력","-"))</x:f>
        <x:v/>
      </x:c>
      <x:c r="G56" s="388" t="str">
        <x:f>IF($E56="","",IF($E56="2추","직접입력","-"))</x:f>
        <x:v/>
      </x:c>
      <x:c r="H56" s="213"/>
      <x:c r="I56" s="156" t="str">
        <x:f>IF(H56="","",VLOOKUP($H56,구분표!$K$3:$M$151,2,FALSE))</x:f>
        <x:v/>
      </x:c>
      <x:c r="J56" s="156" t="str">
        <x:f>IF(I56="","",VLOOKUP($H56,구분표!$K$3:$M$151,3,FALSE))</x:f>
        <x:v/>
      </x:c>
      <x:c r="K56" s="233"/>
      <x:c r="L56" s="233"/>
      <x:c r="M56" s="459" t="str">
        <x:f>IF($E56="","",IF(OR($E56="2추",$E56="1추",$E56="본예산"),"금액입력","-"))</x:f>
        <x:v/>
      </x:c>
      <x:c r="N56" s="459" t="str">
        <x:f>IF($E56="","",IF($E56="2추","금액입력","-"))</x:f>
        <x:v/>
      </x:c>
      <x:c r="O56" s="461" t="str">
        <x:f t="shared" ref="O56:O70" si="44">IF($E56="","",SUM(M56:N56))</x:f>
        <x:v/>
      </x:c>
      <x:c r="P56" s="460"/>
      <x:c r="Q56" s="461">
        <x:f t="shared" ref="Q56:Q70" si="45">SUM(O56:P56)</x:f>
        <x:v>0</x:v>
      </x:c>
      <x:c r="R56" s="462"/>
      <x:c r="S56" s="463">
        <x:f t="shared" ref="S56:S70" si="46">SUM(O56,R56)</x:f>
        <x:v>0</x:v>
      </x:c>
      <x:c r="T56" s="162" t="str">
        <x:f t="shared" ref="T56:T70" si="47">IF(AND((Q56=0),(S56&gt;0)),"O",IF(AND((P56&lt;0),(Q56-S56&lt;0)),"O","X"))</x:f>
        <x:v>X</x:v>
      </x:c>
      <x:c r="U56" s="220"/>
      <x:c r="V56" s="331"/>
      <x:c r="W56" s="221"/>
      <x:c r="X56" s="222"/>
      <x:c r="Y56" s="220"/>
      <x:c r="Z56" s="222"/>
      <x:c r="AA56" s="220"/>
      <x:c r="AC56" s="487">
        <x:f t="shared" ref="AC56:AC70" si="48">IF($P56="",0,IF(AND(ISNUMBER(AD56),ISNUMBER(AE56)),$P56-$AD56-$AE56,0))</x:f>
        <x:v>0</x:v>
      </x:c>
      <x:c r="AD56" s="487">
        <x:f t="shared" si="3"/>
        <x:v>0</x:v>
      </x:c>
      <x:c r="AE56" s="487">
        <x:f t="shared" si="4"/>
        <x:v>0</x:v>
      </x:c>
      <x:c r="AF56" s="374" t="str">
        <x:f t="shared" ref="AF56:AF70" si="49">IF($P56="",IF(SUM($AC56:$AE56)=0,"","@@"),IF(AND($P56=SUM($AC56:$AE56),Q56&gt;=0),"OK","@@"))</x:f>
        <x:v/>
      </x:c>
      <x:c r="AG56" s="165"/>
      <x:c r="AH56" s="487">
        <x:f t="shared" si="5"/>
        <x:v>0</x:v>
      </x:c>
      <x:c r="AI56" s="487">
        <x:f t="shared" si="6"/>
        <x:v>0</x:v>
      </x:c>
      <x:c r="AJ56" s="487">
        <x:f t="shared" si="7"/>
        <x:v>0</x:v>
      </x:c>
      <x:c r="AK56" s="374" t="str">
        <x:f t="shared" si="8"/>
        <x:v/>
      </x:c>
      <x:c r="AL56" s="8"/>
      <x:c r="AM56" s="533"/>
      <x:c r="AN56" s="374" t="str">
        <x:f>IF($AM56="","",IF($AM56="세입없음","OK",IF(COUNTIF('3. 일입'!$AN$8:$AN$2000,$AM56),"OK","@@")))</x:f>
        <x:v/>
      </x:c>
      <x:c r="AO56" s="356" t="str">
        <x:f t="shared" si="9"/>
        <x:v/>
      </x:c>
      <x:c r="AP56" s="374" t="str">
        <x:f t="shared" si="10"/>
        <x:v/>
      </x:c>
      <x:c r="AQ56" s="93"/>
      <x:c r="AR56" s="374" t="str">
        <x:f t="array" ref="AR56:AR56">IF(OR($D56="",$C56="직접입력",$B56="직접입력"),"",INDEX(구분표!$I$3:$I$321,MATCH(1,(구분표!$G$3:$G$321=$B56)*(구분표!$E$3:$E$321=$C56)*(구분표!$F$3:$F$321=$D56),0)))</x:f>
        <x:v/>
      </x:c>
      <x:c r="AS56" s="21"/>
    </x:row>
    <x:row r="57" spans="1:45" s="20" customFormat="1" ht="60" customHeight="1">
      <x:c r="A57" s="155" t="str">
        <x:f>IF(D57="","",COUNTA($C$7:C57)-COUNTBLANK($C$7:C57)+4)</x:f>
        <x:v/>
      </x:c>
      <x:c r="B57" s="156" t="str">
        <x: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x:f>
        <x:v/>
      </x:c>
      <x:c r="C57" s="156" t="str">
        <x:f>IF(D57="","",IF(OR(D57="교육지원과",D57="총무과",D57="인사과"),"직접입력",VLOOKUP(D57,구분표!$A$3:$C$258,3,)))</x:f>
        <x:v/>
      </x:c>
      <x:c r="D57" s="219"/>
      <x:c r="E57" s="213"/>
      <x:c r="F57" s="388" t="str">
        <x:f t="shared" ref="F57:G70" si="50">IF($E57="","",IF($E57="2추","직접입력","-"))</x:f>
        <x:v/>
      </x:c>
      <x:c r="G57" s="388" t="str">
        <x:f t="shared" si="50"/>
        <x:v/>
      </x:c>
      <x:c r="H57" s="213"/>
      <x:c r="I57" s="156" t="str">
        <x:f>IF(H57="","",VLOOKUP($H57,구분표!$K$3:$M$151,2,FALSE))</x:f>
        <x:v/>
      </x:c>
      <x:c r="J57" s="156" t="str">
        <x:f>IF(I57="","",VLOOKUP($H57,구분표!$K$3:$M$151,3,FALSE))</x:f>
        <x:v/>
      </x:c>
      <x:c r="K57" s="233"/>
      <x:c r="L57" s="233"/>
      <x:c r="M57" s="459" t="str">
        <x:f t="shared" ref="M57:M70" si="51">IF($E57="","",IF(OR($E57="2추",$E57="1추",$E57="본예산"),"금액입력","-"))</x:f>
        <x:v/>
      </x:c>
      <x:c r="N57" s="459" t="str">
        <x:f t="shared" ref="N57:N70" si="52">IF($E57="","",IF($E57="2추","금액입력","-"))</x:f>
        <x:v/>
      </x:c>
      <x:c r="O57" s="461" t="str">
        <x:f t="shared" si="44"/>
        <x:v/>
      </x:c>
      <x:c r="P57" s="460"/>
      <x:c r="Q57" s="461">
        <x:f t="shared" si="45"/>
        <x:v>0</x:v>
      </x:c>
      <x:c r="R57" s="462"/>
      <x:c r="S57" s="463">
        <x:f t="shared" si="46"/>
        <x:v>0</x:v>
      </x:c>
      <x:c r="T57" s="162" t="str">
        <x:f t="shared" si="47"/>
        <x:v>X</x:v>
      </x:c>
      <x:c r="U57" s="220"/>
      <x:c r="V57" s="331"/>
      <x:c r="W57" s="221"/>
      <x:c r="X57" s="222"/>
      <x:c r="Y57" s="220"/>
      <x:c r="Z57" s="222"/>
      <x:c r="AA57" s="220"/>
      <x:c r="AC57" s="487">
        <x:f t="shared" si="48"/>
        <x:v>0</x:v>
      </x:c>
      <x:c r="AD57" s="487">
        <x:f t="shared" si="3"/>
        <x:v>0</x:v>
      </x:c>
      <x:c r="AE57" s="487">
        <x:f t="shared" si="4"/>
        <x:v>0</x:v>
      </x:c>
      <x:c r="AF57" s="374" t="str">
        <x:f t="shared" si="49"/>
        <x:v/>
      </x:c>
      <x:c r="AG57" s="165"/>
      <x:c r="AH57" s="487">
        <x:f t="shared" si="5"/>
        <x:v>0</x:v>
      </x:c>
      <x:c r="AI57" s="487">
        <x:f t="shared" si="6"/>
        <x:v>0</x:v>
      </x:c>
      <x:c r="AJ57" s="487">
        <x:f t="shared" si="7"/>
        <x:v>0</x:v>
      </x:c>
      <x:c r="AK57" s="374" t="str">
        <x:f t="shared" si="8"/>
        <x:v/>
      </x:c>
      <x:c r="AL57" s="8"/>
      <x:c r="AM57" s="533"/>
      <x:c r="AN57" s="374" t="str">
        <x:f>IF($AM57="","",IF($AM57="세입없음","OK",IF(COUNTIF('3. 일입'!$AN$8:$AN$2000,$AM57),"OK","@@")))</x:f>
        <x:v/>
      </x:c>
      <x:c r="AO57" s="356" t="str">
        <x:f t="shared" si="9"/>
        <x:v/>
      </x:c>
      <x:c r="AP57" s="374" t="str">
        <x:f t="shared" si="10"/>
        <x:v/>
      </x:c>
      <x:c r="AQ57" s="93"/>
      <x:c r="AR57" s="374" t="str">
        <x:f t="array" ref="AR57:AR57">IF(OR($D57="",$C57="직접입력",$B57="직접입력"),"",INDEX(구분표!$I$3:$I$321,MATCH(1,(구분표!$G$3:$G$321=$B57)*(구분표!$E$3:$E$321=$C57)*(구분표!$F$3:$F$321=$D57),0)))</x:f>
        <x:v/>
      </x:c>
      <x:c r="AS57" s="21"/>
    </x:row>
    <x:row r="58" spans="1:45" s="20" customFormat="1" ht="60" customHeight="1">
      <x:c r="A58" s="155" t="str">
        <x:f>IF(D58="","",COUNTA($C$7:C58)-COUNTBLANK($C$7:C58)+4)</x:f>
        <x:v/>
      </x:c>
      <x:c r="B58" s="156" t="str">
        <x: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x:f>
        <x:v/>
      </x:c>
      <x:c r="C58" s="156" t="str">
        <x:f>IF(D58="","",IF(OR(D58="교육지원과",D58="총무과",D58="인사과"),"직접입력",VLOOKUP(D58,구분표!$A$3:$C$258,3,)))</x:f>
        <x:v/>
      </x:c>
      <x:c r="D58" s="219"/>
      <x:c r="E58" s="213"/>
      <x:c r="F58" s="388" t="str">
        <x:f t="shared" si="50"/>
        <x:v/>
      </x:c>
      <x:c r="G58" s="388" t="str">
        <x:f t="shared" si="50"/>
        <x:v/>
      </x:c>
      <x:c r="H58" s="213"/>
      <x:c r="I58" s="156" t="str">
        <x:f>IF(H58="","",VLOOKUP($H58,구분표!$K$3:$M$151,2,FALSE))</x:f>
        <x:v/>
      </x:c>
      <x:c r="J58" s="156" t="str">
        <x:f>IF(I58="","",VLOOKUP($H58,구분표!$K$3:$M$151,3,FALSE))</x:f>
        <x:v/>
      </x:c>
      <x:c r="K58" s="233"/>
      <x:c r="L58" s="233"/>
      <x:c r="M58" s="459" t="str">
        <x:f t="shared" si="51"/>
        <x:v/>
      </x:c>
      <x:c r="N58" s="459" t="str">
        <x:f t="shared" si="52"/>
        <x:v/>
      </x:c>
      <x:c r="O58" s="461" t="str">
        <x:f t="shared" si="44"/>
        <x:v/>
      </x:c>
      <x:c r="P58" s="460"/>
      <x:c r="Q58" s="461">
        <x:f t="shared" si="45"/>
        <x:v>0</x:v>
      </x:c>
      <x:c r="R58" s="462"/>
      <x:c r="S58" s="463">
        <x:f t="shared" si="46"/>
        <x:v>0</x:v>
      </x:c>
      <x:c r="T58" s="162" t="str">
        <x:f t="shared" si="47"/>
        <x:v>X</x:v>
      </x:c>
      <x:c r="U58" s="220"/>
      <x:c r="V58" s="331"/>
      <x:c r="W58" s="221"/>
      <x:c r="X58" s="222"/>
      <x:c r="Y58" s="220"/>
      <x:c r="Z58" s="222"/>
      <x:c r="AA58" s="220"/>
      <x:c r="AC58" s="487">
        <x:f t="shared" si="48"/>
        <x:v>0</x:v>
      </x:c>
      <x:c r="AD58" s="487">
        <x:f t="shared" si="3"/>
        <x:v>0</x:v>
      </x:c>
      <x:c r="AE58" s="487">
        <x:f t="shared" si="4"/>
        <x:v>0</x:v>
      </x:c>
      <x:c r="AF58" s="374" t="str">
        <x:f t="shared" si="49"/>
        <x:v/>
      </x:c>
      <x:c r="AG58" s="165"/>
      <x:c r="AH58" s="487">
        <x:f t="shared" si="5"/>
        <x:v>0</x:v>
      </x:c>
      <x:c r="AI58" s="487">
        <x:f t="shared" si="6"/>
        <x:v>0</x:v>
      </x:c>
      <x:c r="AJ58" s="487">
        <x:f t="shared" si="7"/>
        <x:v>0</x:v>
      </x:c>
      <x:c r="AK58" s="374" t="str">
        <x:f t="shared" si="8"/>
        <x:v/>
      </x:c>
      <x:c r="AL58" s="8"/>
      <x:c r="AM58" s="533"/>
      <x:c r="AN58" s="374" t="str">
        <x:f>IF($AM58="","",IF($AM58="세입없음","OK",IF(COUNTIF('3. 일입'!$AN$8:$AN$2000,$AM58),"OK","@@")))</x:f>
        <x:v/>
      </x:c>
      <x:c r="AO58" s="356" t="str">
        <x:f t="shared" si="9"/>
        <x:v/>
      </x:c>
      <x:c r="AP58" s="374" t="str">
        <x:f t="shared" si="10"/>
        <x:v/>
      </x:c>
      <x:c r="AQ58" s="93"/>
      <x:c r="AR58" s="374" t="str">
        <x:f t="array" ref="AR58:AR58">IF(OR($D58="",$C58="직접입력",$B58="직접입력"),"",INDEX(구분표!$I$3:$I$321,MATCH(1,(구분표!$G$3:$G$321=$B58)*(구분표!$E$3:$E$321=$C58)*(구분표!$F$3:$F$321=$D58),0)))</x:f>
        <x:v/>
      </x:c>
      <x:c r="AS58" s="21"/>
    </x:row>
    <x:row r="59" spans="1:45" s="157" customFormat="1" ht="60" customHeight="1">
      <x:c r="A59" s="155" t="str">
        <x:f>IF(D59="","",COUNTA($C$7:C59)-COUNTBLANK($C$7:C59)+4)</x:f>
        <x:v/>
      </x:c>
      <x:c r="B59" s="156" t="str">
        <x: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x:f>
        <x:v/>
      </x:c>
      <x:c r="C59" s="156" t="str">
        <x:f>IF(D59="","",IF(OR(D59="교육지원과",D59="총무과",D59="인사과"),"직접입력",VLOOKUP(D59,구분표!$A$3:$C$258,3,)))</x:f>
        <x:v/>
      </x:c>
      <x:c r="D59" s="219"/>
      <x:c r="E59" s="213"/>
      <x:c r="F59" s="388" t="str">
        <x:f t="shared" si="50"/>
        <x:v/>
      </x:c>
      <x:c r="G59" s="388" t="str">
        <x:f t="shared" si="50"/>
        <x:v/>
      </x:c>
      <x:c r="H59" s="213"/>
      <x:c r="I59" s="156" t="str">
        <x:f>IF(H59="","",VLOOKUP($H59,구분표!$K$3:$M$151,2,FALSE))</x:f>
        <x:v/>
      </x:c>
      <x:c r="J59" s="156" t="str">
        <x:f>IF(I59="","",VLOOKUP($H59,구분표!$K$3:$M$151,3,FALSE))</x:f>
        <x:v/>
      </x:c>
      <x:c r="K59" s="233"/>
      <x:c r="L59" s="233"/>
      <x:c r="M59" s="459" t="str">
        <x:f t="shared" si="51"/>
        <x:v/>
      </x:c>
      <x:c r="N59" s="459" t="str">
        <x:f t="shared" si="52"/>
        <x:v/>
      </x:c>
      <x:c r="O59" s="461" t="str">
        <x:f t="shared" si="44"/>
        <x:v/>
      </x:c>
      <x:c r="P59" s="460"/>
      <x:c r="Q59" s="461">
        <x:f t="shared" si="45"/>
        <x:v>0</x:v>
      </x:c>
      <x:c r="R59" s="462"/>
      <x:c r="S59" s="463">
        <x:f t="shared" si="46"/>
        <x:v>0</x:v>
      </x:c>
      <x:c r="T59" s="162" t="str">
        <x:f t="shared" si="47"/>
        <x:v>X</x:v>
      </x:c>
      <x:c r="U59" s="220"/>
      <x:c r="V59" s="331"/>
      <x:c r="W59" s="221"/>
      <x:c r="X59" s="222"/>
      <x:c r="Y59" s="220"/>
      <x:c r="Z59" s="222"/>
      <x:c r="AA59" s="220"/>
      <x:c r="AB59" s="20"/>
      <x:c r="AC59" s="487">
        <x:f t="shared" si="48"/>
        <x:v>0</x:v>
      </x:c>
      <x:c r="AD59" s="487">
        <x:f t="shared" si="3"/>
        <x:v>0</x:v>
      </x:c>
      <x:c r="AE59" s="487">
        <x:f t="shared" si="4"/>
        <x:v>0</x:v>
      </x:c>
      <x:c r="AF59" s="374" t="str">
        <x:f t="shared" si="49"/>
        <x:v/>
      </x:c>
      <x:c r="AG59" s="165"/>
      <x:c r="AH59" s="487">
        <x:f t="shared" si="5"/>
        <x:v>0</x:v>
      </x:c>
      <x:c r="AI59" s="487">
        <x:f t="shared" si="6"/>
        <x:v>0</x:v>
      </x:c>
      <x:c r="AJ59" s="487">
        <x:f t="shared" si="7"/>
        <x:v>0</x:v>
      </x:c>
      <x:c r="AK59" s="374" t="str">
        <x:f t="shared" si="8"/>
        <x:v/>
      </x:c>
      <x:c r="AL59" s="8"/>
      <x:c r="AM59" s="533"/>
      <x:c r="AN59" s="374" t="str">
        <x:f>IF($AM59="","",IF($AM59="세입없음","OK",IF(COUNTIF('3. 일입'!$AN$8:$AN$2000,$AM59),"OK","@@")))</x:f>
        <x:v/>
      </x:c>
      <x:c r="AO59" s="356" t="str">
        <x:f t="shared" si="9"/>
        <x:v/>
      </x:c>
      <x:c r="AP59" s="374" t="str">
        <x:f t="shared" si="10"/>
        <x:v/>
      </x:c>
      <x:c r="AQ59" s="93"/>
      <x:c r="AR59" s="374" t="str">
        <x:f t="array" ref="AR59:AR59">IF(OR($D59="",$C59="직접입력",$B59="직접입력"),"",INDEX(구분표!$I$3:$I$321,MATCH(1,(구분표!$G$3:$G$321=$B59)*(구분표!$E$3:$E$321=$C59)*(구분표!$F$3:$F$321=$D59),0)))</x:f>
        <x:v/>
      </x:c>
      <x:c r="AS59" s="21"/>
    </x:row>
    <x:row r="60" spans="1:45" s="20" customFormat="1" ht="60" customHeight="1">
      <x:c r="A60" s="155" t="str">
        <x:f>IF(D60="","",COUNTA($C$7:C60)-COUNTBLANK($C$7:C60)+4)</x:f>
        <x:v/>
      </x:c>
      <x:c r="B60" s="156" t="str">
        <x: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x:f>
        <x:v/>
      </x:c>
      <x:c r="C60" s="156" t="str">
        <x:f>IF(D60="","",IF(OR(D60="교육지원과",D60="총무과",D60="인사과"),"직접입력",VLOOKUP(D60,구분표!$A$3:$C$258,3,)))</x:f>
        <x:v/>
      </x:c>
      <x:c r="D60" s="219"/>
      <x:c r="E60" s="213"/>
      <x:c r="F60" s="388" t="str">
        <x:f t="shared" si="50"/>
        <x:v/>
      </x:c>
      <x:c r="G60" s="388" t="str">
        <x:f t="shared" si="50"/>
        <x:v/>
      </x:c>
      <x:c r="H60" s="213"/>
      <x:c r="I60" s="156" t="str">
        <x:f>IF(H60="","",VLOOKUP($H60,구분표!$K$3:$M$151,2,FALSE))</x:f>
        <x:v/>
      </x:c>
      <x:c r="J60" s="156" t="str">
        <x:f>IF(I60="","",VLOOKUP($H60,구분표!$K$3:$M$151,3,FALSE))</x:f>
        <x:v/>
      </x:c>
      <x:c r="K60" s="233"/>
      <x:c r="L60" s="233"/>
      <x:c r="M60" s="459" t="str">
        <x:f t="shared" si="51"/>
        <x:v/>
      </x:c>
      <x:c r="N60" s="459" t="str">
        <x:f t="shared" si="52"/>
        <x:v/>
      </x:c>
      <x:c r="O60" s="461" t="str">
        <x:f t="shared" si="44"/>
        <x:v/>
      </x:c>
      <x:c r="P60" s="460"/>
      <x:c r="Q60" s="461">
        <x:f t="shared" si="45"/>
        <x:v>0</x:v>
      </x:c>
      <x:c r="R60" s="462"/>
      <x:c r="S60" s="463">
        <x:f t="shared" si="46"/>
        <x:v>0</x:v>
      </x:c>
      <x:c r="T60" s="162" t="str">
        <x:f t="shared" si="47"/>
        <x:v>X</x:v>
      </x:c>
      <x:c r="U60" s="220"/>
      <x:c r="V60" s="331"/>
      <x:c r="W60" s="221"/>
      <x:c r="X60" s="222"/>
      <x:c r="Y60" s="220"/>
      <x:c r="Z60" s="222"/>
      <x:c r="AA60" s="220"/>
      <x:c r="AC60" s="487">
        <x:f t="shared" si="48"/>
        <x:v>0</x:v>
      </x:c>
      <x:c r="AD60" s="487">
        <x:f t="shared" si="3"/>
        <x:v>0</x:v>
      </x:c>
      <x:c r="AE60" s="487">
        <x:f t="shared" si="4"/>
        <x:v>0</x:v>
      </x:c>
      <x:c r="AF60" s="374" t="str">
        <x:f t="shared" si="49"/>
        <x:v/>
      </x:c>
      <x:c r="AG60" s="165"/>
      <x:c r="AH60" s="487">
        <x:f t="shared" si="5"/>
        <x:v>0</x:v>
      </x:c>
      <x:c r="AI60" s="487">
        <x:f t="shared" si="6"/>
        <x:v>0</x:v>
      </x:c>
      <x:c r="AJ60" s="487">
        <x:f t="shared" si="7"/>
        <x:v>0</x:v>
      </x:c>
      <x:c r="AK60" s="374" t="str">
        <x:f t="shared" si="8"/>
        <x:v/>
      </x:c>
      <x:c r="AL60" s="8"/>
      <x:c r="AM60" s="533"/>
      <x:c r="AN60" s="374" t="str">
        <x:f>IF($AM60="","",IF($AM60="세입없음","OK",IF(COUNTIF('3. 일입'!$AN$8:$AN$2000,$AM60),"OK","@@")))</x:f>
        <x:v/>
      </x:c>
      <x:c r="AO60" s="356" t="str">
        <x:f t="shared" si="9"/>
        <x:v/>
      </x:c>
      <x:c r="AP60" s="374" t="str">
        <x:f t="shared" si="10"/>
        <x:v/>
      </x:c>
      <x:c r="AQ60" s="93"/>
      <x:c r="AR60" s="374" t="str">
        <x:f t="array" ref="AR60:AR60">IF(OR($D60="",$C60="직접입력",$B60="직접입력"),"",INDEX(구분표!$I$3:$I$321,MATCH(1,(구분표!$G$3:$G$321=$B60)*(구분표!$E$3:$E$321=$C60)*(구분표!$F$3:$F$321=$D60),0)))</x:f>
        <x:v/>
      </x:c>
      <x:c r="AS60" s="21"/>
    </x:row>
    <x:row r="61" spans="1:45" s="20" customFormat="1" ht="60" customHeight="1">
      <x:c r="A61" s="155" t="str">
        <x:f>IF(D61="","",COUNTA($C$7:C61)-COUNTBLANK($C$7:C61)+4)</x:f>
        <x:v/>
      </x:c>
      <x:c r="B61" s="156" t="str">
        <x: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x:f>
        <x:v/>
      </x:c>
      <x:c r="C61" s="156" t="str">
        <x:f>IF(D61="","",IF(OR(D61="교육지원과",D61="총무과",D61="인사과"),"직접입력",VLOOKUP(D61,구분표!$A$3:$C$258,3,)))</x:f>
        <x:v/>
      </x:c>
      <x:c r="D61" s="219"/>
      <x:c r="E61" s="213"/>
      <x:c r="F61" s="388" t="str">
        <x:f t="shared" si="50"/>
        <x:v/>
      </x:c>
      <x:c r="G61" s="388" t="str">
        <x:f t="shared" si="50"/>
        <x:v/>
      </x:c>
      <x:c r="H61" s="213"/>
      <x:c r="I61" s="156" t="str">
        <x:f>IF(H61="","",VLOOKUP($H61,구분표!$K$3:$M$151,2,FALSE))</x:f>
        <x:v/>
      </x:c>
      <x:c r="J61" s="156" t="str">
        <x:f>IF(I61="","",VLOOKUP($H61,구분표!$K$3:$M$151,3,FALSE))</x:f>
        <x:v/>
      </x:c>
      <x:c r="K61" s="233"/>
      <x:c r="L61" s="233"/>
      <x:c r="M61" s="459" t="str">
        <x:f t="shared" si="51"/>
        <x:v/>
      </x:c>
      <x:c r="N61" s="459" t="str">
        <x:f t="shared" si="52"/>
        <x:v/>
      </x:c>
      <x:c r="O61" s="461" t="str">
        <x:f t="shared" si="44"/>
        <x:v/>
      </x:c>
      <x:c r="P61" s="460"/>
      <x:c r="Q61" s="461">
        <x:f t="shared" si="45"/>
        <x:v>0</x:v>
      </x:c>
      <x:c r="R61" s="462"/>
      <x:c r="S61" s="463">
        <x:f t="shared" si="46"/>
        <x:v>0</x:v>
      </x:c>
      <x:c r="T61" s="162" t="str">
        <x:f t="shared" si="47"/>
        <x:v>X</x:v>
      </x:c>
      <x:c r="U61" s="220"/>
      <x:c r="V61" s="331"/>
      <x:c r="W61" s="221"/>
      <x:c r="X61" s="222"/>
      <x:c r="Y61" s="220"/>
      <x:c r="Z61" s="222"/>
      <x:c r="AA61" s="220"/>
      <x:c r="AC61" s="487">
        <x:f t="shared" si="48"/>
        <x:v>0</x:v>
      </x:c>
      <x:c r="AD61" s="487">
        <x:f t="shared" si="3"/>
        <x:v>0</x:v>
      </x:c>
      <x:c r="AE61" s="487">
        <x:f t="shared" si="4"/>
        <x:v>0</x:v>
      </x:c>
      <x:c r="AF61" s="374" t="str">
        <x:f t="shared" si="49"/>
        <x:v/>
      </x:c>
      <x:c r="AG61" s="165"/>
      <x:c r="AH61" s="487">
        <x:f t="shared" si="5"/>
        <x:v>0</x:v>
      </x:c>
      <x:c r="AI61" s="487">
        <x:f t="shared" si="6"/>
        <x:v>0</x:v>
      </x:c>
      <x:c r="AJ61" s="487">
        <x:f t="shared" si="7"/>
        <x:v>0</x:v>
      </x:c>
      <x:c r="AK61" s="374" t="str">
        <x:f t="shared" si="8"/>
        <x:v/>
      </x:c>
      <x:c r="AL61" s="8"/>
      <x:c r="AM61" s="533"/>
      <x:c r="AN61" s="374" t="str">
        <x:f>IF($AM61="","",IF($AM61="세입없음","OK",IF(COUNTIF('3. 일입'!$AN$8:$AN$2000,$AM61),"OK","@@")))</x:f>
        <x:v/>
      </x:c>
      <x:c r="AO61" s="356" t="str">
        <x:f t="shared" si="9"/>
        <x:v/>
      </x:c>
      <x:c r="AP61" s="374" t="str">
        <x:f t="shared" si="10"/>
        <x:v/>
      </x:c>
      <x:c r="AQ61" s="93"/>
      <x:c r="AR61" s="374" t="str">
        <x:f t="array" ref="AR61:AR61">IF(OR($D61="",$C61="직접입력",$B61="직접입력"),"",INDEX(구분표!$I$3:$I$321,MATCH(1,(구분표!$G$3:$G$321=$B61)*(구분표!$E$3:$E$321=$C61)*(구분표!$F$3:$F$321=$D61),0)))</x:f>
        <x:v/>
      </x:c>
      <x:c r="AS61" s="21"/>
    </x:row>
    <x:row r="62" spans="1:45" s="20" customFormat="1" ht="60" customHeight="1">
      <x:c r="A62" s="155" t="str">
        <x:f>IF(D62="","",COUNTA($C$7:C62)-COUNTBLANK($C$7:C62)+4)</x:f>
        <x:v/>
      </x:c>
      <x:c r="B62" s="156" t="str">
        <x: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x:f>
        <x:v/>
      </x:c>
      <x:c r="C62" s="156" t="str">
        <x:f>IF(D62="","",IF(OR(D62="교육지원과",D62="총무과",D62="인사과"),"직접입력",VLOOKUP(D62,구분표!$A$3:$C$258,3,)))</x:f>
        <x:v/>
      </x:c>
      <x:c r="D62" s="219"/>
      <x:c r="E62" s="213"/>
      <x:c r="F62" s="388" t="str">
        <x:f t="shared" si="50"/>
        <x:v/>
      </x:c>
      <x:c r="G62" s="388" t="str">
        <x:f t="shared" si="50"/>
        <x:v/>
      </x:c>
      <x:c r="H62" s="213"/>
      <x:c r="I62" s="156" t="str">
        <x:f>IF(H62="","",VLOOKUP($H62,구분표!$K$3:$M$151,2,FALSE))</x:f>
        <x:v/>
      </x:c>
      <x:c r="J62" s="156" t="str">
        <x:f>IF(I62="","",VLOOKUP($H62,구분표!$K$3:$M$151,3,FALSE))</x:f>
        <x:v/>
      </x:c>
      <x:c r="K62" s="233"/>
      <x:c r="L62" s="233"/>
      <x:c r="M62" s="459" t="str">
        <x:f t="shared" si="51"/>
        <x:v/>
      </x:c>
      <x:c r="N62" s="459" t="str">
        <x:f t="shared" si="52"/>
        <x:v/>
      </x:c>
      <x:c r="O62" s="461" t="str">
        <x:f t="shared" si="44"/>
        <x:v/>
      </x:c>
      <x:c r="P62" s="460"/>
      <x:c r="Q62" s="461">
        <x:f t="shared" si="45"/>
        <x:v>0</x:v>
      </x:c>
      <x:c r="R62" s="462"/>
      <x:c r="S62" s="463">
        <x:f t="shared" si="46"/>
        <x:v>0</x:v>
      </x:c>
      <x:c r="T62" s="162" t="str">
        <x:f t="shared" si="47"/>
        <x:v>X</x:v>
      </x:c>
      <x:c r="U62" s="220"/>
      <x:c r="V62" s="331"/>
      <x:c r="W62" s="221"/>
      <x:c r="X62" s="222"/>
      <x:c r="Y62" s="220"/>
      <x:c r="Z62" s="222"/>
      <x:c r="AA62" s="220"/>
      <x:c r="AC62" s="487">
        <x:f t="shared" si="48"/>
        <x:v>0</x:v>
      </x:c>
      <x:c r="AD62" s="487">
        <x:f t="shared" si="3"/>
        <x:v>0</x:v>
      </x:c>
      <x:c r="AE62" s="487">
        <x:f t="shared" si="4"/>
        <x:v>0</x:v>
      </x:c>
      <x:c r="AF62" s="374" t="str">
        <x:f t="shared" si="49"/>
        <x:v/>
      </x:c>
      <x:c r="AG62" s="165"/>
      <x:c r="AH62" s="487">
        <x:f t="shared" si="5"/>
        <x:v>0</x:v>
      </x:c>
      <x:c r="AI62" s="487">
        <x:f t="shared" si="6"/>
        <x:v>0</x:v>
      </x:c>
      <x:c r="AJ62" s="487">
        <x:f t="shared" si="7"/>
        <x:v>0</x:v>
      </x:c>
      <x:c r="AK62" s="374" t="str">
        <x:f t="shared" si="8"/>
        <x:v/>
      </x:c>
      <x:c r="AL62" s="8"/>
      <x:c r="AM62" s="533"/>
      <x:c r="AN62" s="374" t="str">
        <x:f>IF($AM62="","",IF($AM62="세입없음","OK",IF(COUNTIF('3. 일입'!$AN$8:$AN$2000,$AM62),"OK","@@")))</x:f>
        <x:v/>
      </x:c>
      <x:c r="AO62" s="356" t="str">
        <x:f t="shared" si="9"/>
        <x:v/>
      </x:c>
      <x:c r="AP62" s="374" t="str">
        <x:f t="shared" si="10"/>
        <x:v/>
      </x:c>
      <x:c r="AQ62" s="93"/>
      <x:c r="AR62" s="374" t="str">
        <x:f t="array" ref="AR62:AR62">IF(OR($D62="",$C62="직접입력",$B62="직접입력"),"",INDEX(구분표!$I$3:$I$321,MATCH(1,(구분표!$G$3:$G$321=$B62)*(구분표!$E$3:$E$321=$C62)*(구분표!$F$3:$F$321=$D62),0)))</x:f>
        <x:v/>
      </x:c>
      <x:c r="AS62" s="21"/>
    </x:row>
    <x:row r="63" spans="1:45" s="20" customFormat="1" ht="60" customHeight="1">
      <x:c r="A63" s="155" t="str">
        <x:f>IF(D63="","",COUNTA($C$7:C63)-COUNTBLANK($C$7:C63)+4)</x:f>
        <x:v/>
      </x:c>
      <x:c r="B63" s="156" t="str">
        <x: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x:f>
        <x:v/>
      </x:c>
      <x:c r="C63" s="156" t="str">
        <x:f>IF(D63="","",IF(OR(D63="교육지원과",D63="총무과",D63="인사과"),"직접입력",VLOOKUP(D63,구분표!$A$3:$C$258,3,)))</x:f>
        <x:v/>
      </x:c>
      <x:c r="D63" s="219"/>
      <x:c r="E63" s="213"/>
      <x:c r="F63" s="388" t="str">
        <x:f t="shared" si="50"/>
        <x:v/>
      </x:c>
      <x:c r="G63" s="388" t="str">
        <x:f t="shared" si="50"/>
        <x:v/>
      </x:c>
      <x:c r="H63" s="213"/>
      <x:c r="I63" s="156" t="str">
        <x:f>IF(H63="","",VLOOKUP($H63,구분표!$K$3:$M$151,2,FALSE))</x:f>
        <x:v/>
      </x:c>
      <x:c r="J63" s="156" t="str">
        <x:f>IF(I63="","",VLOOKUP($H63,구분표!$K$3:$M$151,3,FALSE))</x:f>
        <x:v/>
      </x:c>
      <x:c r="K63" s="233"/>
      <x:c r="L63" s="233"/>
      <x:c r="M63" s="459" t="str">
        <x:f t="shared" si="51"/>
        <x:v/>
      </x:c>
      <x:c r="N63" s="459" t="str">
        <x:f t="shared" si="52"/>
        <x:v/>
      </x:c>
      <x:c r="O63" s="461" t="str">
        <x:f t="shared" si="44"/>
        <x:v/>
      </x:c>
      <x:c r="P63" s="460"/>
      <x:c r="Q63" s="461">
        <x:f t="shared" si="45"/>
        <x:v>0</x:v>
      </x:c>
      <x:c r="R63" s="462"/>
      <x:c r="S63" s="463">
        <x:f t="shared" si="46"/>
        <x:v>0</x:v>
      </x:c>
      <x:c r="T63" s="162" t="str">
        <x:f t="shared" si="47"/>
        <x:v>X</x:v>
      </x:c>
      <x:c r="U63" s="220"/>
      <x:c r="V63" s="331"/>
      <x:c r="W63" s="221"/>
      <x:c r="X63" s="222"/>
      <x:c r="Y63" s="220"/>
      <x:c r="Z63" s="222"/>
      <x:c r="AA63" s="220"/>
      <x:c r="AC63" s="487">
        <x:f t="shared" si="48"/>
        <x:v>0</x:v>
      </x:c>
      <x:c r="AD63" s="487">
        <x:f t="shared" si="3"/>
        <x:v>0</x:v>
      </x:c>
      <x:c r="AE63" s="487">
        <x:f t="shared" si="4"/>
        <x:v>0</x:v>
      </x:c>
      <x:c r="AF63" s="374" t="str">
        <x:f t="shared" si="49"/>
        <x:v/>
      </x:c>
      <x:c r="AG63" s="165"/>
      <x:c r="AH63" s="487">
        <x:f t="shared" si="5"/>
        <x:v>0</x:v>
      </x:c>
      <x:c r="AI63" s="487">
        <x:f t="shared" si="6"/>
        <x:v>0</x:v>
      </x:c>
      <x:c r="AJ63" s="487">
        <x:f t="shared" si="7"/>
        <x:v>0</x:v>
      </x:c>
      <x:c r="AK63" s="374" t="str">
        <x:f t="shared" si="8"/>
        <x:v/>
      </x:c>
      <x:c r="AL63" s="8"/>
      <x:c r="AM63" s="533"/>
      <x:c r="AN63" s="374" t="str">
        <x:f>IF($AM63="","",IF($AM63="세입없음","OK",IF(COUNTIF('3. 일입'!$AN$8:$AN$2000,$AM63),"OK","@@")))</x:f>
        <x:v/>
      </x:c>
      <x:c r="AO63" s="356" t="str">
        <x:f t="shared" si="9"/>
        <x:v/>
      </x:c>
      <x:c r="AP63" s="374" t="str">
        <x:f t="shared" si="10"/>
        <x:v/>
      </x:c>
      <x:c r="AQ63" s="93"/>
      <x:c r="AR63" s="374" t="str">
        <x:f t="array" ref="AR63:AR63">IF(OR($D63="",$C63="직접입력",$B63="직접입력"),"",INDEX(구분표!$I$3:$I$321,MATCH(1,(구분표!$G$3:$G$321=$B63)*(구분표!$E$3:$E$321=$C63)*(구분표!$F$3:$F$321=$D63),0)))</x:f>
        <x:v/>
      </x:c>
      <x:c r="AS63" s="21"/>
    </x:row>
    <x:row r="64" spans="1:45" s="157" customFormat="1" ht="60" customHeight="1">
      <x:c r="A64" s="155" t="str">
        <x:f>IF(D64="","",COUNTA($C$7:C64)-COUNTBLANK($C$7:C64)+4)</x:f>
        <x:v/>
      </x:c>
      <x:c r="B64" s="156" t="str">
        <x: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x:f>
        <x:v/>
      </x:c>
      <x:c r="C64" s="156" t="str">
        <x:f>IF(D64="","",IF(OR(D64="교육지원과",D64="총무과",D64="인사과"),"직접입력",VLOOKUP(D64,구분표!$A$3:$C$258,3,)))</x:f>
        <x:v/>
      </x:c>
      <x:c r="D64" s="219"/>
      <x:c r="E64" s="213"/>
      <x:c r="F64" s="388" t="str">
        <x:f t="shared" si="50"/>
        <x:v/>
      </x:c>
      <x:c r="G64" s="388" t="str">
        <x:f t="shared" si="50"/>
        <x:v/>
      </x:c>
      <x:c r="H64" s="213"/>
      <x:c r="I64" s="156" t="str">
        <x:f>IF(H64="","",VLOOKUP($H64,구분표!$K$3:$M$151,2,FALSE))</x:f>
        <x:v/>
      </x:c>
      <x:c r="J64" s="156" t="str">
        <x:f>IF(I64="","",VLOOKUP($H64,구분표!$K$3:$M$151,3,FALSE))</x:f>
        <x:v/>
      </x:c>
      <x:c r="K64" s="233"/>
      <x:c r="L64" s="233"/>
      <x:c r="M64" s="459" t="str">
        <x:f t="shared" si="51"/>
        <x:v/>
      </x:c>
      <x:c r="N64" s="459" t="str">
        <x:f t="shared" si="52"/>
        <x:v/>
      </x:c>
      <x:c r="O64" s="461" t="str">
        <x:f t="shared" si="44"/>
        <x:v/>
      </x:c>
      <x:c r="P64" s="460"/>
      <x:c r="Q64" s="461">
        <x:f t="shared" si="45"/>
        <x:v>0</x:v>
      </x:c>
      <x:c r="R64" s="462"/>
      <x:c r="S64" s="463">
        <x:f t="shared" si="46"/>
        <x:v>0</x:v>
      </x:c>
      <x:c r="T64" s="162" t="str">
        <x:f t="shared" si="47"/>
        <x:v>X</x:v>
      </x:c>
      <x:c r="U64" s="220"/>
      <x:c r="V64" s="331"/>
      <x:c r="W64" s="221"/>
      <x:c r="X64" s="222"/>
      <x:c r="Y64" s="220"/>
      <x:c r="Z64" s="222"/>
      <x:c r="AA64" s="220"/>
      <x:c r="AB64" s="20"/>
      <x:c r="AC64" s="487">
        <x:f t="shared" si="48"/>
        <x:v>0</x:v>
      </x:c>
      <x:c r="AD64" s="487">
        <x:f t="shared" si="3"/>
        <x:v>0</x:v>
      </x:c>
      <x:c r="AE64" s="487">
        <x:f t="shared" si="4"/>
        <x:v>0</x:v>
      </x:c>
      <x:c r="AF64" s="374" t="str">
        <x:f t="shared" si="49"/>
        <x:v/>
      </x:c>
      <x:c r="AG64" s="165"/>
      <x:c r="AH64" s="487">
        <x:f t="shared" si="5"/>
        <x:v>0</x:v>
      </x:c>
      <x:c r="AI64" s="487">
        <x:f t="shared" si="6"/>
        <x:v>0</x:v>
      </x:c>
      <x:c r="AJ64" s="487">
        <x:f t="shared" si="7"/>
        <x:v>0</x:v>
      </x:c>
      <x:c r="AK64" s="374" t="str">
        <x:f t="shared" si="8"/>
        <x:v/>
      </x:c>
      <x:c r="AL64" s="8"/>
      <x:c r="AM64" s="533"/>
      <x:c r="AN64" s="374" t="str">
        <x:f>IF($AM64="","",IF($AM64="세입없음","OK",IF(COUNTIF('3. 일입'!$AN$8:$AN$2000,$AM64),"OK","@@")))</x:f>
        <x:v/>
      </x:c>
      <x:c r="AO64" s="356" t="str">
        <x:f t="shared" si="9"/>
        <x:v/>
      </x:c>
      <x:c r="AP64" s="374" t="str">
        <x:f t="shared" si="10"/>
        <x:v/>
      </x:c>
      <x:c r="AQ64" s="93"/>
      <x:c r="AR64" s="374" t="str">
        <x:f t="array" ref="AR64:AR64">IF(OR($D64="",$C64="직접입력",$B64="직접입력"),"",INDEX(구분표!$I$3:$I$321,MATCH(1,(구분표!$G$3:$G$321=$B64)*(구분표!$E$3:$E$321=$C64)*(구분표!$F$3:$F$321=$D64),0)))</x:f>
        <x:v/>
      </x:c>
      <x:c r="AS64" s="21"/>
    </x:row>
    <x:row r="65" spans="1:45" s="20" customFormat="1" ht="60" customHeight="1">
      <x:c r="A65" s="155" t="str">
        <x:f>IF(D65="","",COUNTA($C$7:C65)-COUNTBLANK($C$7:C65)+4)</x:f>
        <x:v/>
      </x:c>
      <x:c r="B65" s="156" t="str">
        <x: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x:f>
        <x:v/>
      </x:c>
      <x:c r="C65" s="156" t="str">
        <x:f>IF(D65="","",IF(OR(D65="교육지원과",D65="총무과",D65="인사과"),"직접입력",VLOOKUP(D65,구분표!$A$3:$C$258,3,)))</x:f>
        <x:v/>
      </x:c>
      <x:c r="D65" s="219"/>
      <x:c r="E65" s="213"/>
      <x:c r="F65" s="388" t="str">
        <x:f t="shared" si="50"/>
        <x:v/>
      </x:c>
      <x:c r="G65" s="388" t="str">
        <x:f t="shared" si="50"/>
        <x:v/>
      </x:c>
      <x:c r="H65" s="213"/>
      <x:c r="I65" s="156" t="str">
        <x:f>IF(H65="","",VLOOKUP($H65,구분표!$K$3:$M$151,2,FALSE))</x:f>
        <x:v/>
      </x:c>
      <x:c r="J65" s="156" t="str">
        <x:f>IF(I65="","",VLOOKUP($H65,구분표!$K$3:$M$151,3,FALSE))</x:f>
        <x:v/>
      </x:c>
      <x:c r="K65" s="233"/>
      <x:c r="L65" s="233"/>
      <x:c r="M65" s="459" t="str">
        <x:f t="shared" si="51"/>
        <x:v/>
      </x:c>
      <x:c r="N65" s="459" t="str">
        <x:f t="shared" si="52"/>
        <x:v/>
      </x:c>
      <x:c r="O65" s="461" t="str">
        <x:f t="shared" si="44"/>
        <x:v/>
      </x:c>
      <x:c r="P65" s="460"/>
      <x:c r="Q65" s="461">
        <x:f t="shared" si="45"/>
        <x:v>0</x:v>
      </x:c>
      <x:c r="R65" s="462"/>
      <x:c r="S65" s="463">
        <x:f t="shared" si="46"/>
        <x:v>0</x:v>
      </x:c>
      <x:c r="T65" s="162" t="str">
        <x:f t="shared" si="47"/>
        <x:v>X</x:v>
      </x:c>
      <x:c r="U65" s="220"/>
      <x:c r="V65" s="331"/>
      <x:c r="W65" s="221"/>
      <x:c r="X65" s="222"/>
      <x:c r="Y65" s="220"/>
      <x:c r="Z65" s="222"/>
      <x:c r="AA65" s="220"/>
      <x:c r="AC65" s="487">
        <x:f t="shared" si="48"/>
        <x:v>0</x:v>
      </x:c>
      <x:c r="AD65" s="487">
        <x:f t="shared" si="3"/>
        <x:v>0</x:v>
      </x:c>
      <x:c r="AE65" s="487">
        <x:f t="shared" si="4"/>
        <x:v>0</x:v>
      </x:c>
      <x:c r="AF65" s="374" t="str">
        <x:f t="shared" si="49"/>
        <x:v/>
      </x:c>
      <x:c r="AG65" s="165"/>
      <x:c r="AH65" s="487">
        <x:f t="shared" si="5"/>
        <x:v>0</x:v>
      </x:c>
      <x:c r="AI65" s="487">
        <x:f t="shared" si="6"/>
        <x:v>0</x:v>
      </x:c>
      <x:c r="AJ65" s="487">
        <x:f t="shared" si="7"/>
        <x:v>0</x:v>
      </x:c>
      <x:c r="AK65" s="374" t="str">
        <x:f t="shared" si="8"/>
        <x:v/>
      </x:c>
      <x:c r="AL65" s="8"/>
      <x:c r="AM65" s="533"/>
      <x:c r="AN65" s="374" t="str">
        <x:f>IF($AM65="","",IF($AM65="세입없음","OK",IF(COUNTIF('3. 일입'!$AN$8:$AN$2000,$AM65),"OK","@@")))</x:f>
        <x:v/>
      </x:c>
      <x:c r="AO65" s="356" t="str">
        <x:f t="shared" si="9"/>
        <x:v/>
      </x:c>
      <x:c r="AP65" s="374" t="str">
        <x:f t="shared" si="10"/>
        <x:v/>
      </x:c>
      <x:c r="AQ65" s="93"/>
      <x:c r="AR65" s="374" t="str">
        <x:f t="array" ref="AR65:AR65">IF(OR($D65="",$C65="직접입력",$B65="직접입력"),"",INDEX(구분표!$I$3:$I$321,MATCH(1,(구분표!$G$3:$G$321=$B65)*(구분표!$E$3:$E$321=$C65)*(구분표!$F$3:$F$321=$D65),0)))</x:f>
        <x:v/>
      </x:c>
      <x:c r="AS65" s="21"/>
    </x:row>
    <x:row r="66" spans="1:45" s="20" customFormat="1" ht="60" customHeight="1">
      <x:c r="A66" s="155" t="str">
        <x:f>IF(D66="","",COUNTA($C$7:C66)-COUNTBLANK($C$7:C66)+4)</x:f>
        <x:v/>
      </x:c>
      <x:c r="B66" s="156" t="str">
        <x: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x:f>
        <x:v/>
      </x:c>
      <x:c r="C66" s="156" t="str">
        <x:f>IF(D66="","",IF(OR(D66="교육지원과",D66="총무과",D66="인사과"),"직접입력",VLOOKUP(D66,구분표!$A$3:$C$258,3,)))</x:f>
        <x:v/>
      </x:c>
      <x:c r="D66" s="219"/>
      <x:c r="E66" s="213"/>
      <x:c r="F66" s="388" t="str">
        <x:f t="shared" si="50"/>
        <x:v/>
      </x:c>
      <x:c r="G66" s="388" t="str">
        <x:f t="shared" si="50"/>
        <x:v/>
      </x:c>
      <x:c r="H66" s="213"/>
      <x:c r="I66" s="156" t="str">
        <x:f>IF(H66="","",VLOOKUP($H66,구분표!$K$3:$M$151,2,FALSE))</x:f>
        <x:v/>
      </x:c>
      <x:c r="J66" s="156" t="str">
        <x:f>IF(I66="","",VLOOKUP($H66,구분표!$K$3:$M$151,3,FALSE))</x:f>
        <x:v/>
      </x:c>
      <x:c r="K66" s="233"/>
      <x:c r="L66" s="233"/>
      <x:c r="M66" s="459" t="str">
        <x:f t="shared" si="51"/>
        <x:v/>
      </x:c>
      <x:c r="N66" s="459" t="str">
        <x:f t="shared" si="52"/>
        <x:v/>
      </x:c>
      <x:c r="O66" s="461" t="str">
        <x:f t="shared" si="44"/>
        <x:v/>
      </x:c>
      <x:c r="P66" s="460"/>
      <x:c r="Q66" s="461">
        <x:f t="shared" si="45"/>
        <x:v>0</x:v>
      </x:c>
      <x:c r="R66" s="462"/>
      <x:c r="S66" s="463">
        <x:f t="shared" si="46"/>
        <x:v>0</x:v>
      </x:c>
      <x:c r="T66" s="162" t="str">
        <x:f t="shared" si="47"/>
        <x:v>X</x:v>
      </x:c>
      <x:c r="U66" s="220"/>
      <x:c r="V66" s="331"/>
      <x:c r="W66" s="221"/>
      <x:c r="X66" s="222"/>
      <x:c r="Y66" s="220"/>
      <x:c r="Z66" s="222"/>
      <x:c r="AA66" s="220"/>
      <x:c r="AC66" s="487">
        <x:f t="shared" si="48"/>
        <x:v>0</x:v>
      </x:c>
      <x:c r="AD66" s="487">
        <x:f t="shared" si="3"/>
        <x:v>0</x:v>
      </x:c>
      <x:c r="AE66" s="487">
        <x:f t="shared" si="4"/>
        <x:v>0</x:v>
      </x:c>
      <x:c r="AF66" s="374" t="str">
        <x:f t="shared" si="49"/>
        <x:v/>
      </x:c>
      <x:c r="AG66" s="165"/>
      <x:c r="AH66" s="487">
        <x:f t="shared" si="5"/>
        <x:v>0</x:v>
      </x:c>
      <x:c r="AI66" s="487">
        <x:f t="shared" si="6"/>
        <x:v>0</x:v>
      </x:c>
      <x:c r="AJ66" s="487">
        <x:f t="shared" si="7"/>
        <x:v>0</x:v>
      </x:c>
      <x:c r="AK66" s="374" t="str">
        <x:f t="shared" si="8"/>
        <x:v/>
      </x:c>
      <x:c r="AL66" s="8"/>
      <x:c r="AM66" s="533"/>
      <x:c r="AN66" s="374" t="str">
        <x:f>IF($AM66="","",IF($AM66="세입없음","OK",IF(COUNTIF('3. 일입'!$AN$8:$AN$2000,$AM66),"OK","@@")))</x:f>
        <x:v/>
      </x:c>
      <x:c r="AO66" s="356" t="str">
        <x:f t="shared" si="9"/>
        <x:v/>
      </x:c>
      <x:c r="AP66" s="374" t="str">
        <x:f t="shared" si="10"/>
        <x:v/>
      </x:c>
      <x:c r="AQ66" s="93"/>
      <x:c r="AR66" s="374" t="str">
        <x:f t="array" ref="AR66:AR66">IF(OR($D66="",$C66="직접입력",$B66="직접입력"),"",INDEX(구분표!$I$3:$I$321,MATCH(1,(구분표!$G$3:$G$321=$B66)*(구분표!$E$3:$E$321=$C66)*(구분표!$F$3:$F$321=$D66),0)))</x:f>
        <x:v/>
      </x:c>
      <x:c r="AS66" s="21"/>
    </x:row>
    <x:row r="67" spans="1:45" s="157" customFormat="1" ht="60" customHeight="1">
      <x:c r="A67" s="155" t="str">
        <x:f>IF(D67="","",COUNTA($C$7:C67)-COUNTBLANK($C$7:C67)+4)</x:f>
        <x:v/>
      </x:c>
      <x:c r="B67" s="156" t="str">
        <x: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x:f>
        <x:v/>
      </x:c>
      <x:c r="C67" s="156" t="str">
        <x:f>IF(D67="","",IF(OR(D67="교육지원과",D67="총무과",D67="인사과"),"직접입력",VLOOKUP(D67,구분표!$A$3:$C$258,3,)))</x:f>
        <x:v/>
      </x:c>
      <x:c r="D67" s="219"/>
      <x:c r="E67" s="213"/>
      <x:c r="F67" s="388" t="str">
        <x:f t="shared" si="50"/>
        <x:v/>
      </x:c>
      <x:c r="G67" s="388" t="str">
        <x:f t="shared" si="50"/>
        <x:v/>
      </x:c>
      <x:c r="H67" s="213"/>
      <x:c r="I67" s="156" t="str">
        <x:f>IF(H67="","",VLOOKUP($H67,구분표!$K$3:$M$151,2,FALSE))</x:f>
        <x:v/>
      </x:c>
      <x:c r="J67" s="156" t="str">
        <x:f>IF(I67="","",VLOOKUP($H67,구분표!$K$3:$M$151,3,FALSE))</x:f>
        <x:v/>
      </x:c>
      <x:c r="K67" s="233"/>
      <x:c r="L67" s="233"/>
      <x:c r="M67" s="459" t="str">
        <x:f t="shared" si="51"/>
        <x:v/>
      </x:c>
      <x:c r="N67" s="459" t="str">
        <x:f t="shared" si="52"/>
        <x:v/>
      </x:c>
      <x:c r="O67" s="461" t="str">
        <x:f t="shared" si="44"/>
        <x:v/>
      </x:c>
      <x:c r="P67" s="460"/>
      <x:c r="Q67" s="461">
        <x:f t="shared" si="45"/>
        <x:v>0</x:v>
      </x:c>
      <x:c r="R67" s="462"/>
      <x:c r="S67" s="463">
        <x:f t="shared" si="46"/>
        <x:v>0</x:v>
      </x:c>
      <x:c r="T67" s="162" t="str">
        <x:f t="shared" si="47"/>
        <x:v>X</x:v>
      </x:c>
      <x:c r="U67" s="220"/>
      <x:c r="V67" s="331"/>
      <x:c r="W67" s="221"/>
      <x:c r="X67" s="222"/>
      <x:c r="Y67" s="220"/>
      <x:c r="Z67" s="222"/>
      <x:c r="AA67" s="220"/>
      <x:c r="AB67" s="20"/>
      <x:c r="AC67" s="487">
        <x:f t="shared" si="48"/>
        <x:v>0</x:v>
      </x:c>
      <x:c r="AD67" s="487">
        <x:f t="shared" si="3"/>
        <x:v>0</x:v>
      </x:c>
      <x:c r="AE67" s="487">
        <x:f t="shared" si="4"/>
        <x:v>0</x:v>
      </x:c>
      <x:c r="AF67" s="374" t="str">
        <x:f t="shared" si="49"/>
        <x:v/>
      </x:c>
      <x:c r="AG67" s="165"/>
      <x:c r="AH67" s="487">
        <x:f t="shared" si="5"/>
        <x:v>0</x:v>
      </x:c>
      <x:c r="AI67" s="487">
        <x:f t="shared" si="6"/>
        <x:v>0</x:v>
      </x:c>
      <x:c r="AJ67" s="487">
        <x:f t="shared" si="7"/>
        <x:v>0</x:v>
      </x:c>
      <x:c r="AK67" s="374" t="str">
        <x:f t="shared" si="8"/>
        <x:v/>
      </x:c>
      <x:c r="AL67" s="8"/>
      <x:c r="AM67" s="533"/>
      <x:c r="AN67" s="374" t="str">
        <x:f>IF($AM67="","",IF($AM67="세입없음","OK",IF(COUNTIF('3. 일입'!$AN$8:$AN$2000,$AM67),"OK","@@")))</x:f>
        <x:v/>
      </x:c>
      <x:c r="AO67" s="356" t="str">
        <x:f t="shared" si="9"/>
        <x:v/>
      </x:c>
      <x:c r="AP67" s="374" t="str">
        <x:f t="shared" si="10"/>
        <x:v/>
      </x:c>
      <x:c r="AQ67" s="93"/>
      <x:c r="AR67" s="374" t="str">
        <x:f t="array" ref="AR67:AR67">IF(OR($D67="",$C67="직접입력",$B67="직접입력"),"",INDEX(구분표!$I$3:$I$321,MATCH(1,(구분표!$G$3:$G$321=$B67)*(구분표!$E$3:$E$321=$C67)*(구분표!$F$3:$F$321=$D67),0)))</x:f>
        <x:v/>
      </x:c>
      <x:c r="AS67" s="21"/>
    </x:row>
    <x:row r="68" spans="1:45" s="20" customFormat="1" ht="60" customHeight="1">
      <x:c r="A68" s="155" t="str">
        <x:f>IF(D68="","",COUNTA($C$7:C68)-COUNTBLANK($C$7:C68)+4)</x:f>
        <x:v/>
      </x:c>
      <x:c r="B68" s="156" t="str">
        <x: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x:f>
        <x:v/>
      </x:c>
      <x:c r="C68" s="156" t="str">
        <x:f>IF(D68="","",IF(OR(D68="교육지원과",D68="총무과",D68="인사과"),"직접입력",VLOOKUP(D68,구분표!$A$3:$C$258,3,)))</x:f>
        <x:v/>
      </x:c>
      <x:c r="D68" s="219"/>
      <x:c r="E68" s="213"/>
      <x:c r="F68" s="388" t="str">
        <x:f t="shared" si="50"/>
        <x:v/>
      </x:c>
      <x:c r="G68" s="388" t="str">
        <x:f t="shared" si="50"/>
        <x:v/>
      </x:c>
      <x:c r="H68" s="213"/>
      <x:c r="I68" s="156" t="str">
        <x:f>IF(H68="","",VLOOKUP($H68,구분표!$K$3:$M$151,2,FALSE))</x:f>
        <x:v/>
      </x:c>
      <x:c r="J68" s="156" t="str">
        <x:f>IF(I68="","",VLOOKUP($H68,구분표!$K$3:$M$151,3,FALSE))</x:f>
        <x:v/>
      </x:c>
      <x:c r="K68" s="233"/>
      <x:c r="L68" s="233"/>
      <x:c r="M68" s="459" t="str">
        <x:f t="shared" si="51"/>
        <x:v/>
      </x:c>
      <x:c r="N68" s="459" t="str">
        <x:f t="shared" si="52"/>
        <x:v/>
      </x:c>
      <x:c r="O68" s="461" t="str">
        <x:f t="shared" si="44"/>
        <x:v/>
      </x:c>
      <x:c r="P68" s="460"/>
      <x:c r="Q68" s="461">
        <x:f t="shared" si="45"/>
        <x:v>0</x:v>
      </x:c>
      <x:c r="R68" s="462"/>
      <x:c r="S68" s="463">
        <x:f t="shared" si="46"/>
        <x:v>0</x:v>
      </x:c>
      <x:c r="T68" s="162" t="str">
        <x:f t="shared" si="47"/>
        <x:v>X</x:v>
      </x:c>
      <x:c r="U68" s="220"/>
      <x:c r="V68" s="331"/>
      <x:c r="W68" s="221"/>
      <x:c r="X68" s="222"/>
      <x:c r="Y68" s="220"/>
      <x:c r="Z68" s="222"/>
      <x:c r="AA68" s="220"/>
      <x:c r="AC68" s="487">
        <x:f t="shared" si="48"/>
        <x:v>0</x:v>
      </x:c>
      <x:c r="AD68" s="487">
        <x:f t="shared" si="3"/>
        <x:v>0</x:v>
      </x:c>
      <x:c r="AE68" s="487">
        <x:f t="shared" si="4"/>
        <x:v>0</x:v>
      </x:c>
      <x:c r="AF68" s="374" t="str">
        <x:f t="shared" si="49"/>
        <x:v/>
      </x:c>
      <x:c r="AG68" s="165"/>
      <x:c r="AH68" s="487">
        <x:f t="shared" si="5"/>
        <x:v>0</x:v>
      </x:c>
      <x:c r="AI68" s="487">
        <x:f t="shared" si="6"/>
        <x:v>0</x:v>
      </x:c>
      <x:c r="AJ68" s="487">
        <x:f t="shared" si="7"/>
        <x:v>0</x:v>
      </x:c>
      <x:c r="AK68" s="374" t="str">
        <x:f t="shared" si="8"/>
        <x:v/>
      </x:c>
      <x:c r="AL68" s="8"/>
      <x:c r="AM68" s="533"/>
      <x:c r="AN68" s="374" t="str">
        <x:f>IF($AM68="","",IF($AM68="세입없음","OK",IF(COUNTIF('3. 일입'!$AN$8:$AN$2000,$AM68),"OK","@@")))</x:f>
        <x:v/>
      </x:c>
      <x:c r="AO68" s="356" t="str">
        <x:f t="shared" si="9"/>
        <x:v/>
      </x:c>
      <x:c r="AP68" s="374" t="str">
        <x:f t="shared" si="10"/>
        <x:v/>
      </x:c>
      <x:c r="AQ68" s="93"/>
      <x:c r="AR68" s="374" t="str">
        <x:f t="array" ref="AR68:AR68">IF(OR($D68="",$C68="직접입력",$B68="직접입력"),"",INDEX(구분표!$I$3:$I$321,MATCH(1,(구분표!$G$3:$G$321=$B68)*(구분표!$E$3:$E$321=$C68)*(구분표!$F$3:$F$321=$D68),0)))</x:f>
        <x:v/>
      </x:c>
      <x:c r="AS68" s="21"/>
    </x:row>
    <x:row r="69" spans="1:45" s="20" customFormat="1" ht="60" customHeight="1">
      <x:c r="A69" s="155" t="str">
        <x:f>IF(D69="","",COUNTA($C$7:C69)-COUNTBLANK($C$7:C69)+4)</x:f>
        <x:v/>
      </x:c>
      <x:c r="B69" s="156" t="str">
        <x: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x:f>
        <x:v/>
      </x:c>
      <x:c r="C69" s="156" t="str">
        <x:f>IF(D69="","",IF(OR(D69="교육지원과",D69="총무과",D69="인사과"),"직접입력",VLOOKUP(D69,구분표!$A$3:$C$258,3,)))</x:f>
        <x:v/>
      </x:c>
      <x:c r="D69" s="219"/>
      <x:c r="E69" s="213"/>
      <x:c r="F69" s="388" t="str">
        <x:f t="shared" si="50"/>
        <x:v/>
      </x:c>
      <x:c r="G69" s="388" t="str">
        <x:f t="shared" si="50"/>
        <x:v/>
      </x:c>
      <x:c r="H69" s="213"/>
      <x:c r="I69" s="156" t="str">
        <x:f>IF(H69="","",VLOOKUP($H69,구분표!$K$3:$M$151,2,FALSE))</x:f>
        <x:v/>
      </x:c>
      <x:c r="J69" s="156" t="str">
        <x:f>IF(I69="","",VLOOKUP($H69,구분표!$K$3:$M$151,3,FALSE))</x:f>
        <x:v/>
      </x:c>
      <x:c r="K69" s="233"/>
      <x:c r="L69" s="233"/>
      <x:c r="M69" s="459" t="str">
        <x:f t="shared" si="51"/>
        <x:v/>
      </x:c>
      <x:c r="N69" s="459" t="str">
        <x:f t="shared" si="52"/>
        <x:v/>
      </x:c>
      <x:c r="O69" s="461" t="str">
        <x:f t="shared" si="44"/>
        <x:v/>
      </x:c>
      <x:c r="P69" s="460"/>
      <x:c r="Q69" s="461">
        <x:f t="shared" si="45"/>
        <x:v>0</x:v>
      </x:c>
      <x:c r="R69" s="462"/>
      <x:c r="S69" s="463">
        <x:f t="shared" si="46"/>
        <x:v>0</x:v>
      </x:c>
      <x:c r="T69" s="162" t="str">
        <x:f t="shared" si="47"/>
        <x:v>X</x:v>
      </x:c>
      <x:c r="U69" s="220"/>
      <x:c r="V69" s="331"/>
      <x:c r="W69" s="221"/>
      <x:c r="X69" s="222"/>
      <x:c r="Y69" s="220"/>
      <x:c r="Z69" s="222"/>
      <x:c r="AA69" s="220"/>
      <x:c r="AC69" s="487">
        <x:f t="shared" si="48"/>
        <x:v>0</x:v>
      </x:c>
      <x:c r="AD69" s="487">
        <x:f t="shared" si="3"/>
        <x:v>0</x:v>
      </x:c>
      <x:c r="AE69" s="487">
        <x:f t="shared" si="4"/>
        <x:v>0</x:v>
      </x:c>
      <x:c r="AF69" s="374" t="str">
        <x:f t="shared" si="49"/>
        <x:v/>
      </x:c>
      <x:c r="AG69" s="165"/>
      <x:c r="AH69" s="487">
        <x:f t="shared" si="5"/>
        <x:v>0</x:v>
      </x:c>
      <x:c r="AI69" s="487">
        <x:f t="shared" si="6"/>
        <x:v>0</x:v>
      </x:c>
      <x:c r="AJ69" s="487">
        <x:f t="shared" si="7"/>
        <x:v>0</x:v>
      </x:c>
      <x:c r="AK69" s="374" t="str">
        <x:f t="shared" si="8"/>
        <x:v/>
      </x:c>
      <x:c r="AL69" s="8"/>
      <x:c r="AM69" s="533"/>
      <x:c r="AN69" s="374" t="str">
        <x:f>IF($AM69="","",IF($AM69="세입없음","OK",IF(COUNTIF('3. 일입'!$AN$8:$AN$2000,$AM69),"OK","@@")))</x:f>
        <x:v/>
      </x:c>
      <x:c r="AO69" s="356" t="str">
        <x:f t="shared" si="9"/>
        <x:v/>
      </x:c>
      <x:c r="AP69" s="374" t="str">
        <x:f t="shared" si="10"/>
        <x:v/>
      </x:c>
      <x:c r="AQ69" s="93"/>
      <x:c r="AR69" s="374" t="str">
        <x:f t="array" ref="AR69:AR69">IF(OR($D69="",$C69="직접입력",$B69="직접입력"),"",INDEX(구분표!$I$3:$I$321,MATCH(1,(구분표!$G$3:$G$321=$B69)*(구분표!$E$3:$E$321=$C69)*(구분표!$F$3:$F$321=$D69),0)))</x:f>
        <x:v/>
      </x:c>
      <x:c r="AS69" s="21"/>
    </x:row>
    <x:row r="70" spans="1:45" s="20" customFormat="1" ht="60" customHeight="1">
      <x:c r="A70" s="155" t="str">
        <x:f>IF(D70="","",COUNTA($C$7:C70)-COUNTBLANK($C$7:C70)+4)</x:f>
        <x:v/>
      </x:c>
      <x:c r="B70" s="156" t="str">
        <x: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x:f>
        <x:v/>
      </x:c>
      <x:c r="C70" s="156" t="str">
        <x:f>IF(D70="","",IF(OR(D70="교육지원과",D70="총무과",D70="인사과"),"직접입력",VLOOKUP(D70,구분표!$A$3:$C$258,3,)))</x:f>
        <x:v/>
      </x:c>
      <x:c r="D70" s="219"/>
      <x:c r="E70" s="213"/>
      <x:c r="F70" s="388" t="str">
        <x:f t="shared" si="50"/>
        <x:v/>
      </x:c>
      <x:c r="G70" s="388" t="str">
        <x:f t="shared" si="50"/>
        <x:v/>
      </x:c>
      <x:c r="H70" s="213"/>
      <x:c r="I70" s="156" t="str">
        <x:f>IF(H70="","",VLOOKUP($H70,구분표!$K$3:$M$151,2,FALSE))</x:f>
        <x:v/>
      </x:c>
      <x:c r="J70" s="156" t="str">
        <x:f>IF(I70="","",VLOOKUP($H70,구분표!$K$3:$M$151,3,FALSE))</x:f>
        <x:v/>
      </x:c>
      <x:c r="K70" s="233"/>
      <x:c r="L70" s="233"/>
      <x:c r="M70" s="459" t="str">
        <x:f t="shared" si="51"/>
        <x:v/>
      </x:c>
      <x:c r="N70" s="459" t="str">
        <x:f t="shared" si="52"/>
        <x:v/>
      </x:c>
      <x:c r="O70" s="461" t="str">
        <x:f t="shared" si="44"/>
        <x:v/>
      </x:c>
      <x:c r="P70" s="460"/>
      <x:c r="Q70" s="461">
        <x:f t="shared" si="45"/>
        <x:v>0</x:v>
      </x:c>
      <x:c r="R70" s="462"/>
      <x:c r="S70" s="463">
        <x:f t="shared" si="46"/>
        <x:v>0</x:v>
      </x:c>
      <x:c r="T70" s="162" t="str">
        <x:f t="shared" si="47"/>
        <x:v>X</x:v>
      </x:c>
      <x:c r="U70" s="220"/>
      <x:c r="V70" s="331"/>
      <x:c r="W70" s="221"/>
      <x:c r="X70" s="222"/>
      <x:c r="Y70" s="220"/>
      <x:c r="Z70" s="222"/>
      <x:c r="AA70" s="220"/>
      <x:c r="AC70" s="487">
        <x:f t="shared" si="48"/>
        <x:v>0</x:v>
      </x:c>
      <x:c r="AD70" s="487">
        <x:f t="shared" si="3"/>
        <x:v>0</x:v>
      </x:c>
      <x:c r="AE70" s="487">
        <x:f t="shared" si="4"/>
        <x:v>0</x:v>
      </x:c>
      <x:c r="AF70" s="374" t="str">
        <x:f t="shared" si="49"/>
        <x:v/>
      </x:c>
      <x:c r="AG70" s="165"/>
      <x:c r="AH70" s="487">
        <x:f t="shared" si="5"/>
        <x:v>0</x:v>
      </x:c>
      <x:c r="AI70" s="487">
        <x:f t="shared" si="6"/>
        <x:v>0</x:v>
      </x:c>
      <x:c r="AJ70" s="487">
        <x:f t="shared" si="7"/>
        <x:v>0</x:v>
      </x:c>
      <x:c r="AK70" s="374" t="str">
        <x:f t="shared" si="8"/>
        <x:v/>
      </x:c>
      <x:c r="AL70" s="8"/>
      <x:c r="AM70" s="533"/>
      <x:c r="AN70" s="374" t="str">
        <x:f>IF($AM70="","",IF($AM70="세입없음","OK",IF(COUNTIF('3. 일입'!$AN$8:$AN$2000,$AM70),"OK","@@")))</x:f>
        <x:v/>
      </x:c>
      <x:c r="AO70" s="356" t="str">
        <x:f t="shared" si="9"/>
        <x:v/>
      </x:c>
      <x:c r="AP70" s="374" t="str">
        <x:f t="shared" si="10"/>
        <x:v/>
      </x:c>
      <x:c r="AQ70" s="93"/>
      <x:c r="AR70" s="374" t="str">
        <x:f t="array" ref="AR70:AR70">IF(OR($D70="",$C70="직접입력",$B70="직접입력"),"",INDEX(구분표!$I$3:$I$321,MATCH(1,(구분표!$G$3:$G$321=$B70)*(구분표!$E$3:$E$321=$C70)*(구분표!$F$3:$F$321=$D70),0)))</x:f>
        <x:v/>
      </x:c>
      <x:c r="AS70" s="21"/>
    </x:row>
    <x:row r="71" spans="1:45" s="336" customFormat="1" ht="60" customHeight="1">
      <x:c r="A71" s="335"/>
      <x:c r="B71" s="971" t="s">
        <x:v>1519</x:v>
      </x:c>
      <x:c r="C71" s="971"/>
      <x:c r="D71" s="971"/>
      <x:c r="E71" s="971"/>
      <x:c r="F71" s="971"/>
      <x:c r="G71" s="971"/>
      <x:c r="H71" s="244"/>
      <x:c r="I71" s="357"/>
      <x:c r="J71" s="357"/>
      <x:c r="K71" s="418"/>
      <x:c r="L71" s="419" t="str">
        <x:f>SUBTOTAL(3,L72:L86)&amp;"건"</x:f>
        <x:v>0건</x:v>
      </x:c>
      <x:c r="M71" s="476">
        <x:f t="shared" ref="M71:N71" si="53">SUBTOTAL(9,M72:M86)</x:f>
        <x:v>0</x:v>
      </x:c>
      <x:c r="N71" s="476">
        <x:f t="shared" si="53"/>
        <x:v>0</x:v>
      </x:c>
      <x:c r="O71" s="476">
        <x:f t="shared" ref="O71:S71" si="54">SUBTOTAL(9,O72:O86)</x:f>
        <x:v>0</x:v>
      </x:c>
      <x:c r="P71" s="476">
        <x:f t="shared" si="54"/>
        <x:v>0</x:v>
      </x:c>
      <x:c r="Q71" s="476">
        <x:f t="shared" si="54"/>
        <x:v>0</x:v>
      </x:c>
      <x:c r="R71" s="476">
        <x:f t="shared" si="54"/>
        <x:v>0</x:v>
      </x:c>
      <x:c r="S71" s="476">
        <x:f t="shared" si="54"/>
        <x:v>0</x:v>
      </x:c>
      <x:c r="T71" s="416"/>
      <x:c r="U71" s="420"/>
      <x:c r="V71" s="420"/>
      <x:c r="W71" s="186"/>
      <x:c r="X71" s="186"/>
      <x:c r="Y71" s="186"/>
      <x:c r="Z71" s="187"/>
      <x:c r="AA71" s="186"/>
      <x:c r="AC71" s="481">
        <x:f>SUBTOTAL(9,AC72:AC86)</x:f>
        <x:v>0</x:v>
      </x:c>
      <x:c r="AD71" s="481">
        <x:f>SUBTOTAL(9,AD72:AD86)</x:f>
        <x:v>0</x:v>
      </x:c>
      <x:c r="AE71" s="481">
        <x:f>SUBTOTAL(9,AE72:AE86)</x:f>
        <x:v>0</x:v>
      </x:c>
      <x:c r="AF71" s="554" t="str">
        <x:f>IF(COUNTIF(AF72:AF86,"@@")&gt;0,"@@","OK")</x:f>
        <x:v>OK</x:v>
      </x:c>
      <x:c r="AG71" s="165"/>
      <x:c r="AH71" s="481">
        <x:f>SUBTOTAL(9,AH72:AH86)</x:f>
        <x:v>0</x:v>
      </x:c>
      <x:c r="AI71" s="481">
        <x:f>SUBTOTAL(9,AI72:AI86)</x:f>
        <x:v>0</x:v>
      </x:c>
      <x:c r="AJ71" s="481">
        <x:f>SUBTOTAL(9,AJ72:AJ86)</x:f>
        <x:v>0</x:v>
      </x:c>
      <x:c r="AK71" s="554" t="str">
        <x:f>IF(COUNTIF(AK72:AK86,"@@")&gt;0,"@@","OK")</x:f>
        <x:v>OK</x:v>
      </x:c>
      <x:c r="AL71" s="165"/>
      <x:c r="AM71" s="422"/>
      <x:c r="AN71" s="554" t="str">
        <x:f>IF(COUNTIF(AN72:AN86,"@@")&gt;0,"@@","OK")</x:f>
        <x:v>OK</x:v>
      </x:c>
      <x:c r="AO71" s="422"/>
      <x:c r="AP71" s="554" t="str">
        <x:f>IF(COUNTIF(AP72:AP86,"@@")&gt;0,"@@","OK")</x:f>
        <x:v>OK</x:v>
      </x:c>
      <x:c r="AQ71" s="164"/>
      <x:c r="AR71" s="422"/>
      <x:c r="AS71" s="21"/>
    </x:row>
    <x:row r="72" spans="1:45" s="20" customFormat="1" ht="60" customHeight="1">
      <x:c r="A72" s="155" t="str">
        <x:f>IF(D72="","",COUNTA($C$7:C72)-COUNTBLANK($C$7:C72)+5)</x:f>
        <x:v/>
      </x:c>
      <x:c r="B72" s="156" t="str">
        <x: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x:f>
        <x:v/>
      </x:c>
      <x:c r="C72" s="156" t="str">
        <x:f>IF(D72="","",IF(OR(D72="교육지원과",D72="총무과",D72="인사과"),"직접입력",VLOOKUP(D72,구분표!$A$3:$C$258,3,)))</x:f>
        <x:v/>
      </x:c>
      <x:c r="D72" s="219"/>
      <x:c r="E72" s="213"/>
      <x:c r="F72" s="388" t="str">
        <x:f>IF($E72="","",IF($E72="2추","직접입력","-"))</x:f>
        <x:v/>
      </x:c>
      <x:c r="G72" s="388" t="str">
        <x:f>IF($E72="","",IF($E72="2추","직접입력","-"))</x:f>
        <x:v/>
      </x:c>
      <x:c r="H72" s="213"/>
      <x:c r="I72" s="156" t="str">
        <x:f>IF(H72="","",VLOOKUP($H72,구분표!$K$3:$M$151,2,FALSE))</x:f>
        <x:v/>
      </x:c>
      <x:c r="J72" s="156" t="str">
        <x:f>IF(I72="","",VLOOKUP($H72,구분표!$K$3:$M$151,3,FALSE))</x:f>
        <x:v/>
      </x:c>
      <x:c r="K72" s="233"/>
      <x:c r="L72" s="233"/>
      <x:c r="M72" s="459" t="str">
        <x:f>IF($E72="","",IF(OR($E72="2추",$E72="1추",$E72="본예산"),"금액입력","-"))</x:f>
        <x:v/>
      </x:c>
      <x:c r="N72" s="459" t="str">
        <x:f>IF($E72="","",IF($E72="2추","금액입력","-"))</x:f>
        <x:v/>
      </x:c>
      <x:c r="O72" s="461" t="str">
        <x:f t="shared" ref="O72:O86" si="55">IF($E72="","",SUM(M72:N72))</x:f>
        <x:v/>
      </x:c>
      <x:c r="P72" s="460"/>
      <x:c r="Q72" s="461">
        <x:f t="shared" ref="Q72:Q86" si="56">SUM(O72:P72)</x:f>
        <x:v>0</x:v>
      </x:c>
      <x:c r="R72" s="462"/>
      <x:c r="S72" s="463">
        <x:f t="shared" ref="S72:S86" si="57">SUM(O72,R72)</x:f>
        <x:v>0</x:v>
      </x:c>
      <x:c r="T72" s="162" t="str">
        <x:f t="shared" ref="T72:T86" si="58">IF(AND((Q72=0),(S72&gt;0)),"O",IF(AND((P72&lt;0),(Q72-S72&lt;0)),"O","X"))</x:f>
        <x:v>X</x:v>
      </x:c>
      <x:c r="U72" s="220"/>
      <x:c r="V72" s="331"/>
      <x:c r="W72" s="221"/>
      <x:c r="X72" s="222"/>
      <x:c r="Y72" s="220"/>
      <x:c r="Z72" s="222"/>
      <x:c r="AA72" s="220"/>
      <x:c r="AC72" s="487">
        <x:f t="shared" ref="AC72:AC86" si="59">IF($P72="",0,IF(AND(ISNUMBER(AD72),ISNUMBER(AE72)),$P72-$AD72-$AE72,0))</x:f>
        <x:v>0</x:v>
      </x:c>
      <x:c r="AD72" s="487">
        <x:f t="shared" si="3"/>
        <x:v>0</x:v>
      </x:c>
      <x:c r="AE72" s="487">
        <x:f t="shared" si="4"/>
        <x:v>0</x:v>
      </x:c>
      <x:c r="AF72" s="374" t="str">
        <x:f t="shared" ref="AF72:AF86" si="60">IF($P72="",IF(SUM($AC72:$AE72)=0,"","@@"),IF(AND($P72=SUM($AC72:$AE72),Q72&gt;=0),"OK","@@"))</x:f>
        <x:v/>
      </x:c>
      <x:c r="AG72" s="165"/>
      <x:c r="AH72" s="487">
        <x:f t="shared" si="5"/>
        <x:v>0</x:v>
      </x:c>
      <x:c r="AI72" s="487">
        <x:f t="shared" si="6"/>
        <x:v>0</x:v>
      </x:c>
      <x:c r="AJ72" s="487">
        <x:f t="shared" si="7"/>
        <x:v>0</x:v>
      </x:c>
      <x:c r="AK72" s="374" t="str">
        <x:f t="shared" si="8"/>
        <x:v/>
      </x:c>
      <x:c r="AL72" s="8"/>
      <x:c r="AM72" s="533"/>
      <x:c r="AN72" s="374" t="str">
        <x:f>IF($AM72="","",IF($AM72="세입없음","OK",IF(COUNTIF('3. 일입'!$AN$8:$AN$2000,$AM72),"OK","@@")))</x:f>
        <x:v/>
      </x:c>
      <x:c r="AO72" s="356" t="str">
        <x:f t="shared" si="9"/>
        <x:v/>
      </x:c>
      <x:c r="AP72" s="374" t="str">
        <x:f t="shared" si="10"/>
        <x:v/>
      </x:c>
      <x:c r="AQ72" s="93"/>
      <x:c r="AR72" s="374" t="str">
        <x:f t="array" ref="AR72:AR72">IF(OR($D72="",$C72="직접입력",$B72="직접입력"),"",INDEX(구분표!$I$3:$I$321,MATCH(1,(구분표!$G$3:$G$321=$B72)*(구분표!$E$3:$E$321=$C72)*(구분표!$F$3:$F$321=$D72),0)))</x:f>
        <x:v/>
      </x:c>
      <x:c r="AS72" s="21"/>
    </x:row>
    <x:row r="73" spans="1:45" s="20" customFormat="1" ht="60" customHeight="1">
      <x:c r="A73" s="155" t="str">
        <x:f>IF(D73="","",COUNTA($C$7:C73)-COUNTBLANK($C$7:C73)+5)</x:f>
        <x:v/>
      </x:c>
      <x:c r="B73" s="156" t="str">
        <x: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x:f>
        <x:v/>
      </x:c>
      <x:c r="C73" s="156" t="str">
        <x:f>IF(D73="","",IF(OR(D73="교육지원과",D73="총무과",D73="인사과"),"직접입력",VLOOKUP(D73,구분표!$A$3:$C$258,3,)))</x:f>
        <x:v/>
      </x:c>
      <x:c r="D73" s="219"/>
      <x:c r="E73" s="213"/>
      <x:c r="F73" s="388" t="str">
        <x:f t="shared" ref="F73:G86" si="61">IF($E73="","",IF($E73="2추","직접입력","-"))</x:f>
        <x:v/>
      </x:c>
      <x:c r="G73" s="388" t="str">
        <x:f t="shared" si="61"/>
        <x:v/>
      </x:c>
      <x:c r="H73" s="213"/>
      <x:c r="I73" s="156" t="str">
        <x:f>IF(H73="","",VLOOKUP($H73,구분표!$K$3:$M$151,2,FALSE))</x:f>
        <x:v/>
      </x:c>
      <x:c r="J73" s="156" t="str">
        <x:f>IF(I73="","",VLOOKUP($H73,구분표!$K$3:$M$151,3,FALSE))</x:f>
        <x:v/>
      </x:c>
      <x:c r="K73" s="233"/>
      <x:c r="L73" s="233"/>
      <x:c r="M73" s="459" t="str">
        <x:f t="shared" ref="M73:M86" si="62">IF($E73="","",IF(OR($E73="2추",$E73="1추",$E73="본예산"),"금액입력","-"))</x:f>
        <x:v/>
      </x:c>
      <x:c r="N73" s="459" t="str">
        <x:f t="shared" ref="N73:N86" si="63">IF($E73="","",IF($E73="2추","금액입력","-"))</x:f>
        <x:v/>
      </x:c>
      <x:c r="O73" s="461" t="str">
        <x:f t="shared" si="55"/>
        <x:v/>
      </x:c>
      <x:c r="P73" s="460"/>
      <x:c r="Q73" s="461">
        <x:f t="shared" si="56"/>
        <x:v>0</x:v>
      </x:c>
      <x:c r="R73" s="462"/>
      <x:c r="S73" s="463">
        <x:f t="shared" si="57"/>
        <x:v>0</x:v>
      </x:c>
      <x:c r="T73" s="162" t="str">
        <x:f t="shared" si="58"/>
        <x:v>X</x:v>
      </x:c>
      <x:c r="U73" s="220"/>
      <x:c r="V73" s="331"/>
      <x:c r="W73" s="221"/>
      <x:c r="X73" s="222"/>
      <x:c r="Y73" s="220"/>
      <x:c r="Z73" s="222"/>
      <x:c r="AA73" s="220"/>
      <x:c r="AC73" s="487">
        <x:f t="shared" si="59"/>
        <x:v>0</x:v>
      </x:c>
      <x:c r="AD73" s="487">
        <x:f t="shared" si="3"/>
        <x:v>0</x:v>
      </x:c>
      <x:c r="AE73" s="487">
        <x:f t="shared" si="4"/>
        <x:v>0</x:v>
      </x:c>
      <x:c r="AF73" s="374" t="str">
        <x:f t="shared" si="60"/>
        <x:v/>
      </x:c>
      <x:c r="AG73" s="165"/>
      <x:c r="AH73" s="487">
        <x:f t="shared" si="5"/>
        <x:v>0</x:v>
      </x:c>
      <x:c r="AI73" s="487">
        <x:f t="shared" si="6"/>
        <x:v>0</x:v>
      </x:c>
      <x:c r="AJ73" s="487">
        <x:f t="shared" si="7"/>
        <x:v>0</x:v>
      </x:c>
      <x:c r="AK73" s="374" t="str">
        <x:f t="shared" si="8"/>
        <x:v/>
      </x:c>
      <x:c r="AL73" s="8"/>
      <x:c r="AM73" s="533"/>
      <x:c r="AN73" s="374" t="str">
        <x:f>IF($AM73="","",IF($AM73="세입없음","OK",IF(COUNTIF('3. 일입'!$AN$8:$AN$2000,$AM73),"OK","@@")))</x:f>
        <x:v/>
      </x:c>
      <x:c r="AO73" s="356" t="str">
        <x:f t="shared" si="9"/>
        <x:v/>
      </x:c>
      <x:c r="AP73" s="374" t="str">
        <x:f t="shared" si="10"/>
        <x:v/>
      </x:c>
      <x:c r="AQ73" s="93"/>
      <x:c r="AR73" s="374" t="str">
        <x:f t="array" ref="AR73:AR73">IF(OR($D73="",$C73="직접입력",$B73="직접입력"),"",INDEX(구분표!$I$3:$I$321,MATCH(1,(구분표!$G$3:$G$321=$B73)*(구분표!$E$3:$E$321=$C73)*(구분표!$F$3:$F$321=$D73),0)))</x:f>
        <x:v/>
      </x:c>
      <x:c r="AS73" s="21"/>
    </x:row>
    <x:row r="74" spans="1:45" s="20" customFormat="1" ht="60" customHeight="1">
      <x:c r="A74" s="155" t="str">
        <x:f>IF(D74="","",COUNTA($C$7:C74)-COUNTBLANK($C$7:C74)+5)</x:f>
        <x:v/>
      </x:c>
      <x:c r="B74" s="156" t="str">
        <x: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x:f>
        <x:v/>
      </x:c>
      <x:c r="C74" s="156" t="str">
        <x:f>IF(D74="","",IF(OR(D74="교육지원과",D74="총무과",D74="인사과"),"직접입력",VLOOKUP(D74,구분표!$A$3:$C$258,3,)))</x:f>
        <x:v/>
      </x:c>
      <x:c r="D74" s="219"/>
      <x:c r="E74" s="213"/>
      <x:c r="F74" s="388" t="str">
        <x:f t="shared" si="61"/>
        <x:v/>
      </x:c>
      <x:c r="G74" s="388" t="str">
        <x:f t="shared" si="61"/>
        <x:v/>
      </x:c>
      <x:c r="H74" s="213"/>
      <x:c r="I74" s="156" t="str">
        <x:f>IF(H74="","",VLOOKUP($H74,구분표!$K$3:$M$151,2,FALSE))</x:f>
        <x:v/>
      </x:c>
      <x:c r="J74" s="156" t="str">
        <x:f>IF(I74="","",VLOOKUP($H74,구분표!$K$3:$M$151,3,FALSE))</x:f>
        <x:v/>
      </x:c>
      <x:c r="K74" s="233"/>
      <x:c r="L74" s="233"/>
      <x:c r="M74" s="459" t="str">
        <x:f t="shared" si="62"/>
        <x:v/>
      </x:c>
      <x:c r="N74" s="459" t="str">
        <x:f t="shared" si="63"/>
        <x:v/>
      </x:c>
      <x:c r="O74" s="461" t="str">
        <x:f t="shared" si="55"/>
        <x:v/>
      </x:c>
      <x:c r="P74" s="460"/>
      <x:c r="Q74" s="461">
        <x:f t="shared" si="56"/>
        <x:v>0</x:v>
      </x:c>
      <x:c r="R74" s="462"/>
      <x:c r="S74" s="463">
        <x:f t="shared" si="57"/>
        <x:v>0</x:v>
      </x:c>
      <x:c r="T74" s="162" t="str">
        <x:f t="shared" si="58"/>
        <x:v>X</x:v>
      </x:c>
      <x:c r="U74" s="220"/>
      <x:c r="V74" s="331"/>
      <x:c r="W74" s="221"/>
      <x:c r="X74" s="222"/>
      <x:c r="Y74" s="220"/>
      <x:c r="Z74" s="222"/>
      <x:c r="AA74" s="220"/>
      <x:c r="AC74" s="487">
        <x:f t="shared" si="59"/>
        <x:v>0</x:v>
      </x:c>
      <x:c r="AD74" s="487">
        <x:f t="shared" si="3"/>
        <x:v>0</x:v>
      </x:c>
      <x:c r="AE74" s="487">
        <x:f t="shared" si="4"/>
        <x:v>0</x:v>
      </x:c>
      <x:c r="AF74" s="374" t="str">
        <x:f t="shared" si="60"/>
        <x:v/>
      </x:c>
      <x:c r="AG74" s="165"/>
      <x:c r="AH74" s="487">
        <x:f t="shared" si="5"/>
        <x:v>0</x:v>
      </x:c>
      <x:c r="AI74" s="487">
        <x:f t="shared" si="6"/>
        <x:v>0</x:v>
      </x:c>
      <x:c r="AJ74" s="487">
        <x:f t="shared" si="7"/>
        <x:v>0</x:v>
      </x:c>
      <x:c r="AK74" s="374" t="str">
        <x:f t="shared" si="8"/>
        <x:v/>
      </x:c>
      <x:c r="AL74" s="8"/>
      <x:c r="AM74" s="533"/>
      <x:c r="AN74" s="374" t="str">
        <x:f>IF($AM74="","",IF($AM74="세입없음","OK",IF(COUNTIF('3. 일입'!$AN$8:$AN$2000,$AM74),"OK","@@")))</x:f>
        <x:v/>
      </x:c>
      <x:c r="AO74" s="356" t="str">
        <x:f t="shared" si="9"/>
        <x:v/>
      </x:c>
      <x:c r="AP74" s="374" t="str">
        <x:f t="shared" si="10"/>
        <x:v/>
      </x:c>
      <x:c r="AQ74" s="93"/>
      <x:c r="AR74" s="374" t="str">
        <x:f t="array" ref="AR74:AR74">IF(OR($D74="",$C74="직접입력",$B74="직접입력"),"",INDEX(구분표!$I$3:$I$321,MATCH(1,(구분표!$G$3:$G$321=$B74)*(구분표!$E$3:$E$321=$C74)*(구분표!$F$3:$F$321=$D74),0)))</x:f>
        <x:v/>
      </x:c>
      <x:c r="AS74" s="21"/>
    </x:row>
    <x:row r="75" spans="1:45" s="20" customFormat="1" ht="60" customHeight="1">
      <x:c r="A75" s="155" t="str">
        <x:f>IF(D75="","",COUNTA($C$7:C75)-COUNTBLANK($C$7:C75)+5)</x:f>
        <x:v/>
      </x:c>
      <x:c r="B75" s="156" t="str">
        <x: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x:f>
        <x:v/>
      </x:c>
      <x:c r="C75" s="156" t="str">
        <x:f>IF(D75="","",IF(OR(D75="교육지원과",D75="총무과",D75="인사과"),"직접입력",VLOOKUP(D75,구분표!$A$3:$C$258,3,)))</x:f>
        <x:v/>
      </x:c>
      <x:c r="D75" s="219"/>
      <x:c r="E75" s="213"/>
      <x:c r="F75" s="388" t="str">
        <x:f t="shared" si="61"/>
        <x:v/>
      </x:c>
      <x:c r="G75" s="388" t="str">
        <x:f t="shared" si="61"/>
        <x:v/>
      </x:c>
      <x:c r="H75" s="213"/>
      <x:c r="I75" s="156" t="str">
        <x:f>IF(H75="","",VLOOKUP($H75,구분표!$K$3:$M$151,2,FALSE))</x:f>
        <x:v/>
      </x:c>
      <x:c r="J75" s="156" t="str">
        <x:f>IF(I75="","",VLOOKUP($H75,구분표!$K$3:$M$151,3,FALSE))</x:f>
        <x:v/>
      </x:c>
      <x:c r="K75" s="233"/>
      <x:c r="L75" s="233"/>
      <x:c r="M75" s="459" t="str">
        <x:f t="shared" si="62"/>
        <x:v/>
      </x:c>
      <x:c r="N75" s="459" t="str">
        <x:f t="shared" si="63"/>
        <x:v/>
      </x:c>
      <x:c r="O75" s="461" t="str">
        <x:f t="shared" si="55"/>
        <x:v/>
      </x:c>
      <x:c r="P75" s="460"/>
      <x:c r="Q75" s="461">
        <x:f t="shared" si="56"/>
        <x:v>0</x:v>
      </x:c>
      <x:c r="R75" s="462"/>
      <x:c r="S75" s="463">
        <x:f t="shared" si="57"/>
        <x:v>0</x:v>
      </x:c>
      <x:c r="T75" s="162" t="str">
        <x:f t="shared" si="58"/>
        <x:v>X</x:v>
      </x:c>
      <x:c r="U75" s="220"/>
      <x:c r="V75" s="331"/>
      <x:c r="W75" s="221"/>
      <x:c r="X75" s="222"/>
      <x:c r="Y75" s="220"/>
      <x:c r="Z75" s="222"/>
      <x:c r="AA75" s="220"/>
      <x:c r="AC75" s="487">
        <x:f t="shared" si="59"/>
        <x:v>0</x:v>
      </x:c>
      <x:c r="AD75" s="487">
        <x:f t="shared" si="3"/>
        <x:v>0</x:v>
      </x:c>
      <x:c r="AE75" s="487">
        <x:f t="shared" si="4"/>
        <x:v>0</x:v>
      </x:c>
      <x:c r="AF75" s="374" t="str">
        <x:f t="shared" si="60"/>
        <x:v/>
      </x:c>
      <x:c r="AG75" s="165"/>
      <x:c r="AH75" s="487">
        <x:f t="shared" si="5"/>
        <x:v>0</x:v>
      </x:c>
      <x:c r="AI75" s="487">
        <x:f t="shared" si="6"/>
        <x:v>0</x:v>
      </x:c>
      <x:c r="AJ75" s="487">
        <x:f t="shared" si="7"/>
        <x:v>0</x:v>
      </x:c>
      <x:c r="AK75" s="374" t="str">
        <x:f t="shared" si="8"/>
        <x:v/>
      </x:c>
      <x:c r="AL75" s="8"/>
      <x:c r="AM75" s="533"/>
      <x:c r="AN75" s="374" t="str">
        <x:f>IF($AM75="","",IF($AM75="세입없음","OK",IF(COUNTIF('3. 일입'!$AN$8:$AN$2000,$AM75),"OK","@@")))</x:f>
        <x:v/>
      </x:c>
      <x:c r="AO75" s="356" t="str">
        <x:f t="shared" si="9"/>
        <x:v/>
      </x:c>
      <x:c r="AP75" s="374" t="str">
        <x:f t="shared" si="10"/>
        <x:v/>
      </x:c>
      <x:c r="AQ75" s="93"/>
      <x:c r="AR75" s="374" t="str">
        <x:f t="array" ref="AR75:AR75">IF(OR($D75="",$C75="직접입력",$B75="직접입력"),"",INDEX(구분표!$I$3:$I$321,MATCH(1,(구분표!$G$3:$G$321=$B75)*(구분표!$E$3:$E$321=$C75)*(구분표!$F$3:$F$321=$D75),0)))</x:f>
        <x:v/>
      </x:c>
      <x:c r="AS75" s="21"/>
    </x:row>
    <x:row r="76" spans="1:45" s="157" customFormat="1" ht="60" customHeight="1">
      <x:c r="A76" s="155" t="str">
        <x:f>IF(D76="","",COUNTA($C$7:C76)-COUNTBLANK($C$7:C76)+5)</x:f>
        <x:v/>
      </x:c>
      <x:c r="B76" s="156" t="str">
        <x: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x:f>
        <x:v/>
      </x:c>
      <x:c r="C76" s="156" t="str">
        <x:f>IF(D76="","",IF(OR(D76="교육지원과",D76="총무과",D76="인사과"),"직접입력",VLOOKUP(D76,구분표!$A$3:$C$258,3,)))</x:f>
        <x:v/>
      </x:c>
      <x:c r="D76" s="219"/>
      <x:c r="E76" s="213"/>
      <x:c r="F76" s="388" t="str">
        <x:f t="shared" si="61"/>
        <x:v/>
      </x:c>
      <x:c r="G76" s="388" t="str">
        <x:f t="shared" si="61"/>
        <x:v/>
      </x:c>
      <x:c r="H76" s="213"/>
      <x:c r="I76" s="156" t="str">
        <x:f>IF(H76="","",VLOOKUP($H76,구분표!$K$3:$M$151,2,FALSE))</x:f>
        <x:v/>
      </x:c>
      <x:c r="J76" s="156" t="str">
        <x:f>IF(I76="","",VLOOKUP($H76,구분표!$K$3:$M$151,3,FALSE))</x:f>
        <x:v/>
      </x:c>
      <x:c r="K76" s="233"/>
      <x:c r="L76" s="233"/>
      <x:c r="M76" s="459" t="str">
        <x:f t="shared" si="62"/>
        <x:v/>
      </x:c>
      <x:c r="N76" s="459" t="str">
        <x:f t="shared" si="63"/>
        <x:v/>
      </x:c>
      <x:c r="O76" s="461" t="str">
        <x:f t="shared" si="55"/>
        <x:v/>
      </x:c>
      <x:c r="P76" s="460"/>
      <x:c r="Q76" s="461">
        <x:f t="shared" si="56"/>
        <x:v>0</x:v>
      </x:c>
      <x:c r="R76" s="462"/>
      <x:c r="S76" s="463">
        <x:f t="shared" si="57"/>
        <x:v>0</x:v>
      </x:c>
      <x:c r="T76" s="162" t="str">
        <x:f t="shared" si="58"/>
        <x:v>X</x:v>
      </x:c>
      <x:c r="U76" s="220"/>
      <x:c r="V76" s="331"/>
      <x:c r="W76" s="221"/>
      <x:c r="X76" s="222"/>
      <x:c r="Y76" s="220"/>
      <x:c r="Z76" s="222"/>
      <x:c r="AA76" s="220"/>
      <x:c r="AB76" s="20"/>
      <x:c r="AC76" s="487">
        <x:f t="shared" si="59"/>
        <x:v>0</x:v>
      </x:c>
      <x:c r="AD76" s="487">
        <x:f t="shared" si="3"/>
        <x:v>0</x:v>
      </x:c>
      <x:c r="AE76" s="487">
        <x:f t="shared" si="4"/>
        <x:v>0</x:v>
      </x:c>
      <x:c r="AF76" s="374" t="str">
        <x:f t="shared" si="60"/>
        <x:v/>
      </x:c>
      <x:c r="AG76" s="165"/>
      <x:c r="AH76" s="487">
        <x:f t="shared" si="5"/>
        <x:v>0</x:v>
      </x:c>
      <x:c r="AI76" s="487">
        <x:f t="shared" si="6"/>
        <x:v>0</x:v>
      </x:c>
      <x:c r="AJ76" s="487">
        <x:f t="shared" si="7"/>
        <x:v>0</x:v>
      </x:c>
      <x:c r="AK76" s="374" t="str">
        <x:f t="shared" si="8"/>
        <x:v/>
      </x:c>
      <x:c r="AL76" s="8"/>
      <x:c r="AM76" s="533"/>
      <x:c r="AN76" s="374" t="str">
        <x:f>IF($AM76="","",IF($AM76="세입없음","OK",IF(COUNTIF('3. 일입'!$AN$8:$AN$2000,$AM76),"OK","@@")))</x:f>
        <x:v/>
      </x:c>
      <x:c r="AO76" s="356" t="str">
        <x:f t="shared" si="9"/>
        <x:v/>
      </x:c>
      <x:c r="AP76" s="374" t="str">
        <x:f t="shared" si="10"/>
        <x:v/>
      </x:c>
      <x:c r="AQ76" s="93"/>
      <x:c r="AR76" s="374" t="str">
        <x:f t="array" ref="AR76:AR76">IF(OR($D76="",$C76="직접입력",$B76="직접입력"),"",INDEX(구분표!$I$3:$I$321,MATCH(1,(구분표!$G$3:$G$321=$B76)*(구분표!$E$3:$E$321=$C76)*(구분표!$F$3:$F$321=$D76),0)))</x:f>
        <x:v/>
      </x:c>
      <x:c r="AS76" s="21"/>
    </x:row>
    <x:row r="77" spans="1:45" s="20" customFormat="1" ht="60" customHeight="1">
      <x:c r="A77" s="155" t="str">
        <x:f>IF(D77="","",COUNTA($C$7:C77)-COUNTBLANK($C$7:C77)+5)</x:f>
        <x:v/>
      </x:c>
      <x:c r="B77" s="156" t="str">
        <x: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x:f>
        <x:v/>
      </x:c>
      <x:c r="C77" s="156" t="str">
        <x:f>IF(D77="","",IF(OR(D77="교육지원과",D77="총무과",D77="인사과"),"직접입력",VLOOKUP(D77,구분표!$A$3:$C$258,3,)))</x:f>
        <x:v/>
      </x:c>
      <x:c r="D77" s="219"/>
      <x:c r="E77" s="213"/>
      <x:c r="F77" s="388" t="str">
        <x:f t="shared" si="61"/>
        <x:v/>
      </x:c>
      <x:c r="G77" s="388" t="str">
        <x:f t="shared" si="61"/>
        <x:v/>
      </x:c>
      <x:c r="H77" s="213"/>
      <x:c r="I77" s="156" t="str">
        <x:f>IF(H77="","",VLOOKUP($H77,구분표!$K$3:$M$151,2,FALSE))</x:f>
        <x:v/>
      </x:c>
      <x:c r="J77" s="156" t="str">
        <x:f>IF(I77="","",VLOOKUP($H77,구분표!$K$3:$M$151,3,FALSE))</x:f>
        <x:v/>
      </x:c>
      <x:c r="K77" s="233"/>
      <x:c r="L77" s="233"/>
      <x:c r="M77" s="459" t="str">
        <x:f t="shared" si="62"/>
        <x:v/>
      </x:c>
      <x:c r="N77" s="459" t="str">
        <x:f t="shared" si="63"/>
        <x:v/>
      </x:c>
      <x:c r="O77" s="461" t="str">
        <x:f t="shared" si="55"/>
        <x:v/>
      </x:c>
      <x:c r="P77" s="460"/>
      <x:c r="Q77" s="461">
        <x:f t="shared" si="56"/>
        <x:v>0</x:v>
      </x:c>
      <x:c r="R77" s="462"/>
      <x:c r="S77" s="463">
        <x:f t="shared" si="57"/>
        <x:v>0</x:v>
      </x:c>
      <x:c r="T77" s="162" t="str">
        <x:f t="shared" si="58"/>
        <x:v>X</x:v>
      </x:c>
      <x:c r="U77" s="220"/>
      <x:c r="V77" s="331"/>
      <x:c r="W77" s="221"/>
      <x:c r="X77" s="222"/>
      <x:c r="Y77" s="220"/>
      <x:c r="Z77" s="222"/>
      <x:c r="AA77" s="220"/>
      <x:c r="AC77" s="487">
        <x:f t="shared" si="59"/>
        <x:v>0</x:v>
      </x:c>
      <x:c r="AD77" s="487">
        <x:f t="shared" si="3"/>
        <x:v>0</x:v>
      </x:c>
      <x:c r="AE77" s="487">
        <x:f t="shared" si="4"/>
        <x:v>0</x:v>
      </x:c>
      <x:c r="AF77" s="374" t="str">
        <x:f t="shared" si="60"/>
        <x:v/>
      </x:c>
      <x:c r="AG77" s="165"/>
      <x:c r="AH77" s="487">
        <x:f t="shared" si="5"/>
        <x:v>0</x:v>
      </x:c>
      <x:c r="AI77" s="487">
        <x:f t="shared" si="6"/>
        <x:v>0</x:v>
      </x:c>
      <x:c r="AJ77" s="487">
        <x:f t="shared" si="7"/>
        <x:v>0</x:v>
      </x:c>
      <x:c r="AK77" s="374" t="str">
        <x:f t="shared" si="8"/>
        <x:v/>
      </x:c>
      <x:c r="AL77" s="8"/>
      <x:c r="AM77" s="533"/>
      <x:c r="AN77" s="374" t="str">
        <x:f>IF($AM77="","",IF($AM77="세입없음","OK",IF(COUNTIF('3. 일입'!$AN$8:$AN$2000,$AM77),"OK","@@")))</x:f>
        <x:v/>
      </x:c>
      <x:c r="AO77" s="356" t="str">
        <x:f t="shared" si="9"/>
        <x:v/>
      </x:c>
      <x:c r="AP77" s="374" t="str">
        <x:f t="shared" si="10"/>
        <x:v/>
      </x:c>
      <x:c r="AQ77" s="93"/>
      <x:c r="AR77" s="374" t="str">
        <x:f t="array" ref="AR77:AR77">IF(OR($D77="",$C77="직접입력",$B77="직접입력"),"",INDEX(구분표!$I$3:$I$321,MATCH(1,(구분표!$G$3:$G$321=$B77)*(구분표!$E$3:$E$321=$C77)*(구분표!$F$3:$F$321=$D77),0)))</x:f>
        <x:v/>
      </x:c>
      <x:c r="AS77" s="21"/>
    </x:row>
    <x:row r="78" spans="1:45" s="20" customFormat="1" ht="60" customHeight="1">
      <x:c r="A78" s="155" t="str">
        <x:f>IF(D78="","",COUNTA($C$7:C78)-COUNTBLANK($C$7:C78)+5)</x:f>
        <x:v/>
      </x:c>
      <x:c r="B78" s="156" t="str">
        <x: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x:f>
        <x:v/>
      </x:c>
      <x:c r="C78" s="156" t="str">
        <x:f>IF(D78="","",IF(OR(D78="교육지원과",D78="총무과",D78="인사과"),"직접입력",VLOOKUP(D78,구분표!$A$3:$C$258,3,)))</x:f>
        <x:v/>
      </x:c>
      <x:c r="D78" s="219"/>
      <x:c r="E78" s="213"/>
      <x:c r="F78" s="388" t="str">
        <x:f t="shared" si="61"/>
        <x:v/>
      </x:c>
      <x:c r="G78" s="388" t="str">
        <x:f t="shared" si="61"/>
        <x:v/>
      </x:c>
      <x:c r="H78" s="213"/>
      <x:c r="I78" s="156" t="str">
        <x:f>IF(H78="","",VLOOKUP($H78,구분표!$K$3:$M$151,2,FALSE))</x:f>
        <x:v/>
      </x:c>
      <x:c r="J78" s="156" t="str">
        <x:f>IF(I78="","",VLOOKUP($H78,구분표!$K$3:$M$151,3,FALSE))</x:f>
        <x:v/>
      </x:c>
      <x:c r="K78" s="233"/>
      <x:c r="L78" s="233"/>
      <x:c r="M78" s="459" t="str">
        <x:f t="shared" si="62"/>
        <x:v/>
      </x:c>
      <x:c r="N78" s="459" t="str">
        <x:f t="shared" si="63"/>
        <x:v/>
      </x:c>
      <x:c r="O78" s="461" t="str">
        <x:f t="shared" si="55"/>
        <x:v/>
      </x:c>
      <x:c r="P78" s="460"/>
      <x:c r="Q78" s="461">
        <x:f t="shared" si="56"/>
        <x:v>0</x:v>
      </x:c>
      <x:c r="R78" s="462"/>
      <x:c r="S78" s="463">
        <x:f t="shared" si="57"/>
        <x:v>0</x:v>
      </x:c>
      <x:c r="T78" s="162" t="str">
        <x:f t="shared" si="58"/>
        <x:v>X</x:v>
      </x:c>
      <x:c r="U78" s="220"/>
      <x:c r="V78" s="331"/>
      <x:c r="W78" s="221"/>
      <x:c r="X78" s="222"/>
      <x:c r="Y78" s="220"/>
      <x:c r="Z78" s="222"/>
      <x:c r="AA78" s="220"/>
      <x:c r="AC78" s="487">
        <x:f t="shared" si="59"/>
        <x:v>0</x:v>
      </x:c>
      <x:c r="AD78" s="487">
        <x:f t="shared" si="3"/>
        <x:v>0</x:v>
      </x:c>
      <x:c r="AE78" s="487">
        <x:f t="shared" si="4"/>
        <x:v>0</x:v>
      </x:c>
      <x:c r="AF78" s="374" t="str">
        <x:f t="shared" si="60"/>
        <x:v/>
      </x:c>
      <x:c r="AG78" s="165"/>
      <x:c r="AH78" s="487">
        <x:f t="shared" si="5"/>
        <x:v>0</x:v>
      </x:c>
      <x:c r="AI78" s="487">
        <x:f t="shared" si="6"/>
        <x:v>0</x:v>
      </x:c>
      <x:c r="AJ78" s="487">
        <x:f t="shared" si="7"/>
        <x:v>0</x:v>
      </x:c>
      <x:c r="AK78" s="374" t="str">
        <x:f t="shared" si="8"/>
        <x:v/>
      </x:c>
      <x:c r="AL78" s="8"/>
      <x:c r="AM78" s="533"/>
      <x:c r="AN78" s="374" t="str">
        <x:f>IF($AM78="","",IF($AM78="세입없음","OK",IF(COUNTIF('3. 일입'!$AN$8:$AN$2000,$AM78),"OK","@@")))</x:f>
        <x:v/>
      </x:c>
      <x:c r="AO78" s="356" t="str">
        <x:f t="shared" si="9"/>
        <x:v/>
      </x:c>
      <x:c r="AP78" s="374" t="str">
        <x:f t="shared" si="10"/>
        <x:v/>
      </x:c>
      <x:c r="AQ78" s="93"/>
      <x:c r="AR78" s="374" t="str">
        <x:f t="array" ref="AR78:AR78">IF(OR($D78="",$C78="직접입력",$B78="직접입력"),"",INDEX(구분표!$I$3:$I$321,MATCH(1,(구분표!$G$3:$G$321=$B78)*(구분표!$E$3:$E$321=$C78)*(구분표!$F$3:$F$321=$D78),0)))</x:f>
        <x:v/>
      </x:c>
      <x:c r="AS78" s="21"/>
    </x:row>
    <x:row r="79" spans="1:45" s="20" customFormat="1" ht="60" customHeight="1">
      <x:c r="A79" s="155" t="str">
        <x:f>IF(D79="","",COUNTA($C$7:C79)-COUNTBLANK($C$7:C79)+5)</x:f>
        <x:v/>
      </x:c>
      <x:c r="B79" s="156" t="str">
        <x: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x:f>
        <x:v/>
      </x:c>
      <x:c r="C79" s="156" t="str">
        <x:f>IF(D79="","",IF(OR(D79="교육지원과",D79="총무과",D79="인사과"),"직접입력",VLOOKUP(D79,구분표!$A$3:$C$258,3,)))</x:f>
        <x:v/>
      </x:c>
      <x:c r="D79" s="219"/>
      <x:c r="E79" s="213"/>
      <x:c r="F79" s="388" t="str">
        <x:f t="shared" si="61"/>
        <x:v/>
      </x:c>
      <x:c r="G79" s="388" t="str">
        <x:f t="shared" si="61"/>
        <x:v/>
      </x:c>
      <x:c r="H79" s="213"/>
      <x:c r="I79" s="156" t="str">
        <x:f>IF(H79="","",VLOOKUP($H79,구분표!$K$3:$M$151,2,FALSE))</x:f>
        <x:v/>
      </x:c>
      <x:c r="J79" s="156" t="str">
        <x:f>IF(I79="","",VLOOKUP($H79,구분표!$K$3:$M$151,3,FALSE))</x:f>
        <x:v/>
      </x:c>
      <x:c r="K79" s="233"/>
      <x:c r="L79" s="233"/>
      <x:c r="M79" s="459" t="str">
        <x:f t="shared" si="62"/>
        <x:v/>
      </x:c>
      <x:c r="N79" s="459" t="str">
        <x:f t="shared" si="63"/>
        <x:v/>
      </x:c>
      <x:c r="O79" s="461" t="str">
        <x:f t="shared" si="55"/>
        <x:v/>
      </x:c>
      <x:c r="P79" s="460"/>
      <x:c r="Q79" s="461">
        <x:f t="shared" si="56"/>
        <x:v>0</x:v>
      </x:c>
      <x:c r="R79" s="462"/>
      <x:c r="S79" s="463">
        <x:f t="shared" si="57"/>
        <x:v>0</x:v>
      </x:c>
      <x:c r="T79" s="162" t="str">
        <x:f t="shared" si="58"/>
        <x:v>X</x:v>
      </x:c>
      <x:c r="U79" s="220"/>
      <x:c r="V79" s="331"/>
      <x:c r="W79" s="221"/>
      <x:c r="X79" s="222"/>
      <x:c r="Y79" s="220"/>
      <x:c r="Z79" s="222"/>
      <x:c r="AA79" s="220"/>
      <x:c r="AC79" s="487">
        <x:f t="shared" si="59"/>
        <x:v>0</x:v>
      </x:c>
      <x:c r="AD79" s="487">
        <x:f t="shared" si="3"/>
        <x:v>0</x:v>
      </x:c>
      <x:c r="AE79" s="487">
        <x:f t="shared" si="4"/>
        <x:v>0</x:v>
      </x:c>
      <x:c r="AF79" s="374" t="str">
        <x:f t="shared" si="60"/>
        <x:v/>
      </x:c>
      <x:c r="AG79" s="165"/>
      <x:c r="AH79" s="487">
        <x:f t="shared" si="5"/>
        <x:v>0</x:v>
      </x:c>
      <x:c r="AI79" s="487">
        <x:f t="shared" si="6"/>
        <x:v>0</x:v>
      </x:c>
      <x:c r="AJ79" s="487">
        <x:f t="shared" si="7"/>
        <x:v>0</x:v>
      </x:c>
      <x:c r="AK79" s="374" t="str">
        <x:f t="shared" si="8"/>
        <x:v/>
      </x:c>
      <x:c r="AL79" s="8"/>
      <x:c r="AM79" s="533"/>
      <x:c r="AN79" s="374" t="str">
        <x:f>IF($AM79="","",IF($AM79="세입없음","OK",IF(COUNTIF('3. 일입'!$AN$8:$AN$2000,$AM79),"OK","@@")))</x:f>
        <x:v/>
      </x:c>
      <x:c r="AO79" s="356" t="str">
        <x:f t="shared" si="9"/>
        <x:v/>
      </x:c>
      <x:c r="AP79" s="374" t="str">
        <x:f t="shared" si="10"/>
        <x:v/>
      </x:c>
      <x:c r="AQ79" s="93"/>
      <x:c r="AR79" s="374" t="str">
        <x:f t="array" ref="AR79:AR79">IF(OR($D79="",$C79="직접입력",$B79="직접입력"),"",INDEX(구분표!$I$3:$I$321,MATCH(1,(구분표!$G$3:$G$321=$B79)*(구분표!$E$3:$E$321=$C79)*(구분표!$F$3:$F$321=$D79),0)))</x:f>
        <x:v/>
      </x:c>
      <x:c r="AS79" s="21"/>
    </x:row>
    <x:row r="80" spans="1:45" s="20" customFormat="1" ht="60" customHeight="1">
      <x:c r="A80" s="155" t="str">
        <x:f>IF(D80="","",COUNTA($C$7:C80)-COUNTBLANK($C$7:C80)+5)</x:f>
        <x:v/>
      </x:c>
      <x:c r="B80" s="156" t="str">
        <x: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x:f>
        <x:v/>
      </x:c>
      <x:c r="C80" s="156" t="str">
        <x:f>IF(D80="","",IF(OR(D80="교육지원과",D80="총무과",D80="인사과"),"직접입력",VLOOKUP(D80,구분표!$A$3:$C$258,3,)))</x:f>
        <x:v/>
      </x:c>
      <x:c r="D80" s="219"/>
      <x:c r="E80" s="213"/>
      <x:c r="F80" s="388" t="str">
        <x:f t="shared" si="61"/>
        <x:v/>
      </x:c>
      <x:c r="G80" s="388" t="str">
        <x:f t="shared" si="61"/>
        <x:v/>
      </x:c>
      <x:c r="H80" s="213"/>
      <x:c r="I80" s="156" t="str">
        <x:f>IF(H80="","",VLOOKUP($H80,구분표!$K$3:$M$151,2,FALSE))</x:f>
        <x:v/>
      </x:c>
      <x:c r="J80" s="156" t="str">
        <x:f>IF(I80="","",VLOOKUP($H80,구분표!$K$3:$M$151,3,FALSE))</x:f>
        <x:v/>
      </x:c>
      <x:c r="K80" s="233"/>
      <x:c r="L80" s="233"/>
      <x:c r="M80" s="459" t="str">
        <x:f t="shared" si="62"/>
        <x:v/>
      </x:c>
      <x:c r="N80" s="459" t="str">
        <x:f t="shared" si="63"/>
        <x:v/>
      </x:c>
      <x:c r="O80" s="461" t="str">
        <x:f t="shared" si="55"/>
        <x:v/>
      </x:c>
      <x:c r="P80" s="460"/>
      <x:c r="Q80" s="461">
        <x:f t="shared" si="56"/>
        <x:v>0</x:v>
      </x:c>
      <x:c r="R80" s="462"/>
      <x:c r="S80" s="463">
        <x:f t="shared" si="57"/>
        <x:v>0</x:v>
      </x:c>
      <x:c r="T80" s="162" t="str">
        <x:f t="shared" si="58"/>
        <x:v>X</x:v>
      </x:c>
      <x:c r="U80" s="220"/>
      <x:c r="V80" s="331"/>
      <x:c r="W80" s="221"/>
      <x:c r="X80" s="222"/>
      <x:c r="Y80" s="220"/>
      <x:c r="Z80" s="222"/>
      <x:c r="AA80" s="220"/>
      <x:c r="AC80" s="487">
        <x:f t="shared" si="59"/>
        <x:v>0</x:v>
      </x:c>
      <x:c r="AD80" s="487">
        <x:f t="shared" si="3"/>
        <x:v>0</x:v>
      </x:c>
      <x:c r="AE80" s="487">
        <x:f t="shared" si="4"/>
        <x:v>0</x:v>
      </x:c>
      <x:c r="AF80" s="374" t="str">
        <x:f t="shared" si="60"/>
        <x:v/>
      </x:c>
      <x:c r="AG80" s="165"/>
      <x:c r="AH80" s="487">
        <x:f t="shared" si="5"/>
        <x:v>0</x:v>
      </x:c>
      <x:c r="AI80" s="487">
        <x:f t="shared" si="6"/>
        <x:v>0</x:v>
      </x:c>
      <x:c r="AJ80" s="487">
        <x:f t="shared" si="7"/>
        <x:v>0</x:v>
      </x:c>
      <x:c r="AK80" s="374" t="str">
        <x:f t="shared" si="8"/>
        <x:v/>
      </x:c>
      <x:c r="AL80" s="8"/>
      <x:c r="AM80" s="533"/>
      <x:c r="AN80" s="374" t="str">
        <x:f>IF($AM80="","",IF($AM80="세입없음","OK",IF(COUNTIF('3. 일입'!$AN$8:$AN$2000,$AM80),"OK","@@")))</x:f>
        <x:v/>
      </x:c>
      <x:c r="AO80" s="356" t="str">
        <x:f t="shared" si="9"/>
        <x:v/>
      </x:c>
      <x:c r="AP80" s="374" t="str">
        <x:f t="shared" si="10"/>
        <x:v/>
      </x:c>
      <x:c r="AQ80" s="93"/>
      <x:c r="AR80" s="374" t="str">
        <x:f t="array" ref="AR80:AR80">IF(OR($D80="",$C80="직접입력",$B80="직접입력"),"",INDEX(구분표!$I$3:$I$321,MATCH(1,(구분표!$G$3:$G$321=$B80)*(구분표!$E$3:$E$321=$C80)*(구분표!$F$3:$F$321=$D80),0)))</x:f>
        <x:v/>
      </x:c>
      <x:c r="AS80" s="21"/>
    </x:row>
    <x:row r="81" spans="1:45" s="157" customFormat="1" ht="60" customHeight="1">
      <x:c r="A81" s="155" t="str">
        <x:f>IF(D81="","",COUNTA($C$7:C81)-COUNTBLANK($C$7:C81)+5)</x:f>
        <x:v/>
      </x:c>
      <x:c r="B81" s="156" t="str">
        <x: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x:f>
        <x:v/>
      </x:c>
      <x:c r="C81" s="156" t="str">
        <x:f>IF(D81="","",IF(OR(D81="교육지원과",D81="총무과",D81="인사과"),"직접입력",VLOOKUP(D81,구분표!$A$3:$C$258,3,)))</x:f>
        <x:v/>
      </x:c>
      <x:c r="D81" s="219"/>
      <x:c r="E81" s="213"/>
      <x:c r="F81" s="388" t="str">
        <x:f t="shared" si="61"/>
        <x:v/>
      </x:c>
      <x:c r="G81" s="388" t="str">
        <x:f t="shared" si="61"/>
        <x:v/>
      </x:c>
      <x:c r="H81" s="213"/>
      <x:c r="I81" s="156" t="str">
        <x:f>IF(H81="","",VLOOKUP($H81,구분표!$K$3:$M$151,2,FALSE))</x:f>
        <x:v/>
      </x:c>
      <x:c r="J81" s="156" t="str">
        <x:f>IF(I81="","",VLOOKUP($H81,구분표!$K$3:$M$151,3,FALSE))</x:f>
        <x:v/>
      </x:c>
      <x:c r="K81" s="233"/>
      <x:c r="L81" s="233"/>
      <x:c r="M81" s="459" t="str">
        <x:f t="shared" si="62"/>
        <x:v/>
      </x:c>
      <x:c r="N81" s="459" t="str">
        <x:f t="shared" si="63"/>
        <x:v/>
      </x:c>
      <x:c r="O81" s="461" t="str">
        <x:f t="shared" si="55"/>
        <x:v/>
      </x:c>
      <x:c r="P81" s="460"/>
      <x:c r="Q81" s="461">
        <x:f t="shared" si="56"/>
        <x:v>0</x:v>
      </x:c>
      <x:c r="R81" s="462"/>
      <x:c r="S81" s="463">
        <x:f t="shared" si="57"/>
        <x:v>0</x:v>
      </x:c>
      <x:c r="T81" s="162" t="str">
        <x:f t="shared" si="58"/>
        <x:v>X</x:v>
      </x:c>
      <x:c r="U81" s="220"/>
      <x:c r="V81" s="331"/>
      <x:c r="W81" s="221"/>
      <x:c r="X81" s="222"/>
      <x:c r="Y81" s="220"/>
      <x:c r="Z81" s="222"/>
      <x:c r="AA81" s="220"/>
      <x:c r="AB81" s="20"/>
      <x:c r="AC81" s="487">
        <x:f t="shared" si="59"/>
        <x:v>0</x:v>
      </x:c>
      <x:c r="AD81" s="487">
        <x:f t="shared" si="3"/>
        <x:v>0</x:v>
      </x:c>
      <x:c r="AE81" s="487">
        <x:f t="shared" si="4"/>
        <x:v>0</x:v>
      </x:c>
      <x:c r="AF81" s="374" t="str">
        <x:f t="shared" si="60"/>
        <x:v/>
      </x:c>
      <x:c r="AG81" s="165"/>
      <x:c r="AH81" s="487">
        <x:f t="shared" si="5"/>
        <x:v>0</x:v>
      </x:c>
      <x:c r="AI81" s="487">
        <x:f t="shared" si="6"/>
        <x:v>0</x:v>
      </x:c>
      <x:c r="AJ81" s="487">
        <x:f t="shared" si="7"/>
        <x:v>0</x:v>
      </x:c>
      <x:c r="AK81" s="374" t="str">
        <x:f t="shared" si="8"/>
        <x:v/>
      </x:c>
      <x:c r="AL81" s="8"/>
      <x:c r="AM81" s="533"/>
      <x:c r="AN81" s="374" t="str">
        <x:f>IF($AM81="","",IF($AM81="세입없음","OK",IF(COUNTIF('3. 일입'!$AN$8:$AN$2000,$AM81),"OK","@@")))</x:f>
        <x:v/>
      </x:c>
      <x:c r="AO81" s="356" t="str">
        <x:f t="shared" si="9"/>
        <x:v/>
      </x:c>
      <x:c r="AP81" s="374" t="str">
        <x:f t="shared" si="10"/>
        <x:v/>
      </x:c>
      <x:c r="AQ81" s="93"/>
      <x:c r="AR81" s="374" t="str">
        <x:f t="array" ref="AR81:AR81">IF(OR($D81="",$C81="직접입력",$B81="직접입력"),"",INDEX(구분표!$I$3:$I$321,MATCH(1,(구분표!$G$3:$G$321=$B81)*(구분표!$E$3:$E$321=$C81)*(구분표!$F$3:$F$321=$D81),0)))</x:f>
        <x:v/>
      </x:c>
      <x:c r="AS81" s="21"/>
    </x:row>
    <x:row r="82" spans="1:45" s="20" customFormat="1" ht="60" customHeight="1">
      <x:c r="A82" s="155" t="str">
        <x:f>IF(D82="","",COUNTA($C$7:C82)-COUNTBLANK($C$7:C82)+5)</x:f>
        <x:v/>
      </x:c>
      <x:c r="B82" s="156" t="str">
        <x: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x:f>
        <x:v/>
      </x:c>
      <x:c r="C82" s="156" t="str">
        <x:f>IF(D82="","",IF(OR(D82="교육지원과",D82="총무과",D82="인사과"),"직접입력",VLOOKUP(D82,구분표!$A$3:$C$258,3,)))</x:f>
        <x:v/>
      </x:c>
      <x:c r="D82" s="219"/>
      <x:c r="E82" s="213"/>
      <x:c r="F82" s="388" t="str">
        <x:f t="shared" si="61"/>
        <x:v/>
      </x:c>
      <x:c r="G82" s="388" t="str">
        <x:f t="shared" si="61"/>
        <x:v/>
      </x:c>
      <x:c r="H82" s="213"/>
      <x:c r="I82" s="156" t="str">
        <x:f>IF(H82="","",VLOOKUP($H82,구분표!$K$3:$M$151,2,FALSE))</x:f>
        <x:v/>
      </x:c>
      <x:c r="J82" s="156" t="str">
        <x:f>IF(I82="","",VLOOKUP($H82,구분표!$K$3:$M$151,3,FALSE))</x:f>
        <x:v/>
      </x:c>
      <x:c r="K82" s="233"/>
      <x:c r="L82" s="233"/>
      <x:c r="M82" s="459" t="str">
        <x:f t="shared" si="62"/>
        <x:v/>
      </x:c>
      <x:c r="N82" s="459" t="str">
        <x:f t="shared" si="63"/>
        <x:v/>
      </x:c>
      <x:c r="O82" s="461" t="str">
        <x:f t="shared" si="55"/>
        <x:v/>
      </x:c>
      <x:c r="P82" s="460"/>
      <x:c r="Q82" s="461">
        <x:f t="shared" si="56"/>
        <x:v>0</x:v>
      </x:c>
      <x:c r="R82" s="462"/>
      <x:c r="S82" s="463">
        <x:f t="shared" si="57"/>
        <x:v>0</x:v>
      </x:c>
      <x:c r="T82" s="162" t="str">
        <x:f t="shared" si="58"/>
        <x:v>X</x:v>
      </x:c>
      <x:c r="U82" s="220"/>
      <x:c r="V82" s="331"/>
      <x:c r="W82" s="221"/>
      <x:c r="X82" s="222"/>
      <x:c r="Y82" s="220"/>
      <x:c r="Z82" s="222"/>
      <x:c r="AA82" s="220"/>
      <x:c r="AC82" s="487">
        <x:f t="shared" si="59"/>
        <x:v>0</x:v>
      </x:c>
      <x:c r="AD82" s="487">
        <x:f t="shared" si="3"/>
        <x:v>0</x:v>
      </x:c>
      <x:c r="AE82" s="487">
        <x:f t="shared" si="4"/>
        <x:v>0</x:v>
      </x:c>
      <x:c r="AF82" s="374" t="str">
        <x:f t="shared" si="60"/>
        <x:v/>
      </x:c>
      <x:c r="AG82" s="165"/>
      <x:c r="AH82" s="487">
        <x:f t="shared" si="5"/>
        <x:v>0</x:v>
      </x:c>
      <x:c r="AI82" s="487">
        <x:f t="shared" si="6"/>
        <x:v>0</x:v>
      </x:c>
      <x:c r="AJ82" s="487">
        <x:f t="shared" si="7"/>
        <x:v>0</x:v>
      </x:c>
      <x:c r="AK82" s="374" t="str">
        <x:f t="shared" si="8"/>
        <x:v/>
      </x:c>
      <x:c r="AL82" s="8"/>
      <x:c r="AM82" s="533"/>
      <x:c r="AN82" s="374" t="str">
        <x:f>IF($AM82="","",IF($AM82="세입없음","OK",IF(COUNTIF('3. 일입'!$AN$8:$AN$2000,$AM82),"OK","@@")))</x:f>
        <x:v/>
      </x:c>
      <x:c r="AO82" s="356" t="str">
        <x:f t="shared" si="9"/>
        <x:v/>
      </x:c>
      <x:c r="AP82" s="374" t="str">
        <x:f t="shared" si="10"/>
        <x:v/>
      </x:c>
      <x:c r="AQ82" s="93"/>
      <x:c r="AR82" s="374" t="str">
        <x:f t="array" ref="AR82:AR82">IF(OR($D82="",$C82="직접입력",$B82="직접입력"),"",INDEX(구분표!$I$3:$I$321,MATCH(1,(구분표!$G$3:$G$321=$B82)*(구분표!$E$3:$E$321=$C82)*(구분표!$F$3:$F$321=$D82),0)))</x:f>
        <x:v/>
      </x:c>
      <x:c r="AS82" s="21"/>
    </x:row>
    <x:row r="83" spans="1:45" s="20" customFormat="1" ht="60" customHeight="1">
      <x:c r="A83" s="155" t="str">
        <x:f>IF(D83="","",COUNTA($C$7:C83)-COUNTBLANK($C$7:C83)+5)</x:f>
        <x:v/>
      </x:c>
      <x:c r="B83" s="156" t="str">
        <x: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x:f>
        <x:v/>
      </x:c>
      <x:c r="C83" s="156" t="str">
        <x:f>IF(D83="","",IF(OR(D83="교육지원과",D83="총무과",D83="인사과"),"직접입력",VLOOKUP(D83,구분표!$A$3:$C$258,3,)))</x:f>
        <x:v/>
      </x:c>
      <x:c r="D83" s="219"/>
      <x:c r="E83" s="213"/>
      <x:c r="F83" s="388" t="str">
        <x:f t="shared" si="61"/>
        <x:v/>
      </x:c>
      <x:c r="G83" s="388" t="str">
        <x:f t="shared" si="61"/>
        <x:v/>
      </x:c>
      <x:c r="H83" s="213"/>
      <x:c r="I83" s="156" t="str">
        <x:f>IF(H83="","",VLOOKUP($H83,구분표!$K$3:$M$151,2,FALSE))</x:f>
        <x:v/>
      </x:c>
      <x:c r="J83" s="156" t="str">
        <x:f>IF(I83="","",VLOOKUP($H83,구분표!$K$3:$M$151,3,FALSE))</x:f>
        <x:v/>
      </x:c>
      <x:c r="K83" s="233"/>
      <x:c r="L83" s="233"/>
      <x:c r="M83" s="459" t="str">
        <x:f t="shared" si="62"/>
        <x:v/>
      </x:c>
      <x:c r="N83" s="459" t="str">
        <x:f t="shared" si="63"/>
        <x:v/>
      </x:c>
      <x:c r="O83" s="461" t="str">
        <x:f t="shared" si="55"/>
        <x:v/>
      </x:c>
      <x:c r="P83" s="460"/>
      <x:c r="Q83" s="461">
        <x:f t="shared" si="56"/>
        <x:v>0</x:v>
      </x:c>
      <x:c r="R83" s="462"/>
      <x:c r="S83" s="463">
        <x:f t="shared" si="57"/>
        <x:v>0</x:v>
      </x:c>
      <x:c r="T83" s="162" t="str">
        <x:f t="shared" si="58"/>
        <x:v>X</x:v>
      </x:c>
      <x:c r="U83" s="220"/>
      <x:c r="V83" s="331"/>
      <x:c r="W83" s="221"/>
      <x:c r="X83" s="222"/>
      <x:c r="Y83" s="220"/>
      <x:c r="Z83" s="222"/>
      <x:c r="AA83" s="220"/>
      <x:c r="AC83" s="487">
        <x:f t="shared" si="59"/>
        <x:v>0</x:v>
      </x:c>
      <x:c r="AD83" s="487">
        <x:f t="shared" si="3"/>
        <x:v>0</x:v>
      </x:c>
      <x:c r="AE83" s="487">
        <x:f t="shared" si="4"/>
        <x:v>0</x:v>
      </x:c>
      <x:c r="AF83" s="374" t="str">
        <x:f t="shared" si="60"/>
        <x:v/>
      </x:c>
      <x:c r="AG83" s="165"/>
      <x:c r="AH83" s="487">
        <x:f t="shared" si="5"/>
        <x:v>0</x:v>
      </x:c>
      <x:c r="AI83" s="487">
        <x:f t="shared" si="6"/>
        <x:v>0</x:v>
      </x:c>
      <x:c r="AJ83" s="487">
        <x:f t="shared" si="7"/>
        <x:v>0</x:v>
      </x:c>
      <x:c r="AK83" s="374" t="str">
        <x:f t="shared" si="8"/>
        <x:v/>
      </x:c>
      <x:c r="AL83" s="8"/>
      <x:c r="AM83" s="533"/>
      <x:c r="AN83" s="374" t="str">
        <x:f>IF($AM83="","",IF($AM83="세입없음","OK",IF(COUNTIF('3. 일입'!$AN$8:$AN$2000,$AM83),"OK","@@")))</x:f>
        <x:v/>
      </x:c>
      <x:c r="AO83" s="356" t="str">
        <x:f t="shared" si="9"/>
        <x:v/>
      </x:c>
      <x:c r="AP83" s="374" t="str">
        <x:f t="shared" si="10"/>
        <x:v/>
      </x:c>
      <x:c r="AQ83" s="93"/>
      <x:c r="AR83" s="374" t="str">
        <x:f t="array" ref="AR83:AR83">IF(OR($D83="",$C83="직접입력",$B83="직접입력"),"",INDEX(구분표!$I$3:$I$321,MATCH(1,(구분표!$G$3:$G$321=$B83)*(구분표!$E$3:$E$321=$C83)*(구분표!$F$3:$F$321=$D83),0)))</x:f>
        <x:v/>
      </x:c>
      <x:c r="AS83" s="21"/>
    </x:row>
    <x:row r="84" spans="1:45" s="20" customFormat="1" ht="60" customHeight="1">
      <x:c r="A84" s="155" t="str">
        <x:f>IF(D84="","",COUNTA($C$7:C84)-COUNTBLANK($C$7:C84)+5)</x:f>
        <x:v/>
      </x:c>
      <x:c r="B84" s="156" t="str">
        <x: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x:f>
        <x:v/>
      </x:c>
      <x:c r="C84" s="156" t="str">
        <x:f>IF(D84="","",IF(OR(D84="교육지원과",D84="총무과",D84="인사과"),"직접입력",VLOOKUP(D84,구분표!$A$3:$C$258,3,)))</x:f>
        <x:v/>
      </x:c>
      <x:c r="D84" s="219"/>
      <x:c r="E84" s="213"/>
      <x:c r="F84" s="388" t="str">
        <x:f t="shared" si="61"/>
        <x:v/>
      </x:c>
      <x:c r="G84" s="388" t="str">
        <x:f t="shared" si="61"/>
        <x:v/>
      </x:c>
      <x:c r="H84" s="213"/>
      <x:c r="I84" s="156" t="str">
        <x:f>IF(H84="","",VLOOKUP($H84,구분표!$K$3:$M$151,2,FALSE))</x:f>
        <x:v/>
      </x:c>
      <x:c r="J84" s="156" t="str">
        <x:f>IF(I84="","",VLOOKUP($H84,구분표!$K$3:$M$151,3,FALSE))</x:f>
        <x:v/>
      </x:c>
      <x:c r="K84" s="233"/>
      <x:c r="L84" s="233"/>
      <x:c r="M84" s="459" t="str">
        <x:f t="shared" si="62"/>
        <x:v/>
      </x:c>
      <x:c r="N84" s="459" t="str">
        <x:f t="shared" si="63"/>
        <x:v/>
      </x:c>
      <x:c r="O84" s="461" t="str">
        <x:f t="shared" si="55"/>
        <x:v/>
      </x:c>
      <x:c r="P84" s="460"/>
      <x:c r="Q84" s="461">
        <x:f t="shared" si="56"/>
        <x:v>0</x:v>
      </x:c>
      <x:c r="R84" s="462"/>
      <x:c r="S84" s="463">
        <x:f t="shared" si="57"/>
        <x:v>0</x:v>
      </x:c>
      <x:c r="T84" s="162" t="str">
        <x:f t="shared" si="58"/>
        <x:v>X</x:v>
      </x:c>
      <x:c r="U84" s="220"/>
      <x:c r="V84" s="331"/>
      <x:c r="W84" s="221"/>
      <x:c r="X84" s="222"/>
      <x:c r="Y84" s="220"/>
      <x:c r="Z84" s="222"/>
      <x:c r="AA84" s="220"/>
      <x:c r="AC84" s="487">
        <x:f t="shared" si="59"/>
        <x:v>0</x:v>
      </x:c>
      <x:c r="AD84" s="487">
        <x:f t="shared" si="3"/>
        <x:v>0</x:v>
      </x:c>
      <x:c r="AE84" s="487">
        <x:f t="shared" si="4"/>
        <x:v>0</x:v>
      </x:c>
      <x:c r="AF84" s="374" t="str">
        <x:f t="shared" si="60"/>
        <x:v/>
      </x:c>
      <x:c r="AG84" s="165"/>
      <x:c r="AH84" s="487">
        <x:f t="shared" si="5"/>
        <x:v>0</x:v>
      </x:c>
      <x:c r="AI84" s="487">
        <x:f t="shared" si="6"/>
        <x:v>0</x:v>
      </x:c>
      <x:c r="AJ84" s="487">
        <x:f t="shared" si="7"/>
        <x:v>0</x:v>
      </x:c>
      <x:c r="AK84" s="374" t="str">
        <x:f t="shared" si="8"/>
        <x:v/>
      </x:c>
      <x:c r="AL84" s="8"/>
      <x:c r="AM84" s="533"/>
      <x:c r="AN84" s="374" t="str">
        <x:f>IF($AM84="","",IF($AM84="세입없음","OK",IF(COUNTIF('3. 일입'!$AN$8:$AN$2000,$AM84),"OK","@@")))</x:f>
        <x:v/>
      </x:c>
      <x:c r="AO84" s="356" t="str">
        <x:f t="shared" si="9"/>
        <x:v/>
      </x:c>
      <x:c r="AP84" s="374" t="str">
        <x:f t="shared" si="10"/>
        <x:v/>
      </x:c>
      <x:c r="AQ84" s="93"/>
      <x:c r="AR84" s="374" t="str">
        <x:f t="array" ref="AR84:AR84">IF(OR($D84="",$C84="직접입력",$B84="직접입력"),"",INDEX(구분표!$I$3:$I$321,MATCH(1,(구분표!$G$3:$G$321=$B84)*(구분표!$E$3:$E$321=$C84)*(구분표!$F$3:$F$321=$D84),0)))</x:f>
        <x:v/>
      </x:c>
      <x:c r="AS84" s="21"/>
    </x:row>
    <x:row r="85" spans="1:45" s="20" customFormat="1" ht="60" customHeight="1">
      <x:c r="A85" s="155" t="str">
        <x:f>IF(D85="","",COUNTA($C$7:C85)-COUNTBLANK($C$7:C85)+5)</x:f>
        <x:v/>
      </x:c>
      <x:c r="B85" s="156" t="str">
        <x: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x:f>
        <x:v/>
      </x:c>
      <x:c r="C85" s="156" t="str">
        <x:f>IF(D85="","",IF(OR(D85="교육지원과",D85="총무과",D85="인사과"),"직접입력",VLOOKUP(D85,구분표!$A$3:$C$258,3,)))</x:f>
        <x:v/>
      </x:c>
      <x:c r="D85" s="219"/>
      <x:c r="E85" s="213"/>
      <x:c r="F85" s="388" t="str">
        <x:f t="shared" si="61"/>
        <x:v/>
      </x:c>
      <x:c r="G85" s="388" t="str">
        <x:f t="shared" si="61"/>
        <x:v/>
      </x:c>
      <x:c r="H85" s="213"/>
      <x:c r="I85" s="156" t="str">
        <x:f>IF(H85="","",VLOOKUP($H85,구분표!$K$3:$M$151,2,FALSE))</x:f>
        <x:v/>
      </x:c>
      <x:c r="J85" s="156" t="str">
        <x:f>IF(I85="","",VLOOKUP($H85,구분표!$K$3:$M$151,3,FALSE))</x:f>
        <x:v/>
      </x:c>
      <x:c r="K85" s="233"/>
      <x:c r="L85" s="233"/>
      <x:c r="M85" s="459" t="str">
        <x:f t="shared" si="62"/>
        <x:v/>
      </x:c>
      <x:c r="N85" s="459" t="str">
        <x:f t="shared" si="63"/>
        <x:v/>
      </x:c>
      <x:c r="O85" s="461" t="str">
        <x:f t="shared" si="55"/>
        <x:v/>
      </x:c>
      <x:c r="P85" s="460"/>
      <x:c r="Q85" s="461">
        <x:f t="shared" si="56"/>
        <x:v>0</x:v>
      </x:c>
      <x:c r="R85" s="462"/>
      <x:c r="S85" s="463">
        <x:f t="shared" si="57"/>
        <x:v>0</x:v>
      </x:c>
      <x:c r="T85" s="162" t="str">
        <x:f t="shared" si="58"/>
        <x:v>X</x:v>
      </x:c>
      <x:c r="U85" s="220"/>
      <x:c r="V85" s="331"/>
      <x:c r="W85" s="221"/>
      <x:c r="X85" s="222"/>
      <x:c r="Y85" s="220"/>
      <x:c r="Z85" s="222"/>
      <x:c r="AA85" s="220"/>
      <x:c r="AC85" s="487">
        <x:f t="shared" si="59"/>
        <x:v>0</x:v>
      </x:c>
      <x:c r="AD85" s="487">
        <x:f t="shared" si="3"/>
        <x:v>0</x:v>
      </x:c>
      <x:c r="AE85" s="487">
        <x:f t="shared" si="4"/>
        <x:v>0</x:v>
      </x:c>
      <x:c r="AF85" s="374" t="str">
        <x:f t="shared" si="60"/>
        <x:v/>
      </x:c>
      <x:c r="AG85" s="165"/>
      <x:c r="AH85" s="487">
        <x:f t="shared" si="5"/>
        <x:v>0</x:v>
      </x:c>
      <x:c r="AI85" s="487">
        <x:f t="shared" si="6"/>
        <x:v>0</x:v>
      </x:c>
      <x:c r="AJ85" s="487">
        <x:f t="shared" si="7"/>
        <x:v>0</x:v>
      </x:c>
      <x:c r="AK85" s="374" t="str">
        <x:f t="shared" si="8"/>
        <x:v/>
      </x:c>
      <x:c r="AL85" s="8"/>
      <x:c r="AM85" s="533"/>
      <x:c r="AN85" s="374" t="str">
        <x:f>IF($AM85="","",IF($AM85="세입없음","OK",IF(COUNTIF('3. 일입'!$AN$8:$AN$2000,$AM85),"OK","@@")))</x:f>
        <x:v/>
      </x:c>
      <x:c r="AO85" s="356" t="str">
        <x:f t="shared" si="9"/>
        <x:v/>
      </x:c>
      <x:c r="AP85" s="374" t="str">
        <x:f t="shared" si="10"/>
        <x:v/>
      </x:c>
      <x:c r="AQ85" s="93"/>
      <x:c r="AR85" s="374" t="str">
        <x:f t="array" ref="AR85:AR85">IF(OR($D85="",$C85="직접입력",$B85="직접입력"),"",INDEX(구분표!$I$3:$I$321,MATCH(1,(구분표!$G$3:$G$321=$B85)*(구분표!$E$3:$E$321=$C85)*(구분표!$F$3:$F$321=$D85),0)))</x:f>
        <x:v/>
      </x:c>
      <x:c r="AS85" s="21"/>
    </x:row>
    <x:row r="86" spans="1:45" s="20" customFormat="1" ht="60" customHeight="1">
      <x:c r="A86" s="155" t="str">
        <x:f>IF(D86="","",COUNTA($C$7:C86)-COUNTBLANK($C$7:C86)+5)</x:f>
        <x:v/>
      </x:c>
      <x:c r="B86" s="156" t="str">
        <x: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x:f>
        <x:v/>
      </x:c>
      <x:c r="C86" s="156" t="str">
        <x:f>IF(D86="","",IF(OR(D86="교육지원과",D86="총무과",D86="인사과"),"직접입력",VLOOKUP(D86,구분표!$A$3:$C$258,3,)))</x:f>
        <x:v/>
      </x:c>
      <x:c r="D86" s="219"/>
      <x:c r="E86" s="213"/>
      <x:c r="F86" s="388" t="str">
        <x:f t="shared" si="61"/>
        <x:v/>
      </x:c>
      <x:c r="G86" s="388" t="str">
        <x:f t="shared" si="61"/>
        <x:v/>
      </x:c>
      <x:c r="H86" s="213"/>
      <x:c r="I86" s="156" t="str">
        <x:f>IF(H86="","",VLOOKUP($H86,구분표!$K$3:$M$151,2,FALSE))</x:f>
        <x:v/>
      </x:c>
      <x:c r="J86" s="156" t="str">
        <x:f>IF(I86="","",VLOOKUP($H86,구분표!$K$3:$M$151,3,FALSE))</x:f>
        <x:v/>
      </x:c>
      <x:c r="K86" s="233"/>
      <x:c r="L86" s="233"/>
      <x:c r="M86" s="459" t="str">
        <x:f t="shared" si="62"/>
        <x:v/>
      </x:c>
      <x:c r="N86" s="459" t="str">
        <x:f t="shared" si="63"/>
        <x:v/>
      </x:c>
      <x:c r="O86" s="461" t="str">
        <x:f t="shared" si="55"/>
        <x:v/>
      </x:c>
      <x:c r="P86" s="460"/>
      <x:c r="Q86" s="461">
        <x:f t="shared" si="56"/>
        <x:v>0</x:v>
      </x:c>
      <x:c r="R86" s="462"/>
      <x:c r="S86" s="463">
        <x:f t="shared" si="57"/>
        <x:v>0</x:v>
      </x:c>
      <x:c r="T86" s="162" t="str">
        <x:f t="shared" si="58"/>
        <x:v>X</x:v>
      </x:c>
      <x:c r="U86" s="220"/>
      <x:c r="V86" s="331"/>
      <x:c r="W86" s="221"/>
      <x:c r="X86" s="222"/>
      <x:c r="Y86" s="220"/>
      <x:c r="Z86" s="222"/>
      <x:c r="AA86" s="220"/>
      <x:c r="AC86" s="487">
        <x:f t="shared" si="59"/>
        <x:v>0</x:v>
      </x:c>
      <x:c r="AD86" s="487">
        <x:f t="shared" si="3"/>
        <x:v>0</x:v>
      </x:c>
      <x:c r="AE86" s="487">
        <x:f t="shared" si="4"/>
        <x:v>0</x:v>
      </x:c>
      <x:c r="AF86" s="374" t="str">
        <x:f t="shared" si="60"/>
        <x:v/>
      </x:c>
      <x:c r="AG86" s="165"/>
      <x:c r="AH86" s="487">
        <x:f t="shared" si="5"/>
        <x:v>0</x:v>
      </x:c>
      <x:c r="AI86" s="487">
        <x:f t="shared" si="6"/>
        <x:v>0</x:v>
      </x:c>
      <x:c r="AJ86" s="487">
        <x:f t="shared" si="7"/>
        <x:v>0</x:v>
      </x:c>
      <x:c r="AK86" s="374" t="str">
        <x:f t="shared" si="8"/>
        <x:v/>
      </x:c>
      <x:c r="AL86" s="8"/>
      <x:c r="AM86" s="533"/>
      <x:c r="AN86" s="374" t="str">
        <x:f>IF($AM86="","",IF($AM86="세입없음","OK",IF(COUNTIF('3. 일입'!$AN$8:$AN$2000,$AM86),"OK","@@")))</x:f>
        <x:v/>
      </x:c>
      <x:c r="AO86" s="356" t="str">
        <x:f t="shared" si="9"/>
        <x:v/>
      </x:c>
      <x:c r="AP86" s="374" t="str">
        <x:f t="shared" si="10"/>
        <x:v/>
      </x:c>
      <x:c r="AQ86" s="93"/>
      <x:c r="AR86" s="374" t="str">
        <x:f t="array" ref="AR86:AR86">IF(OR($D86="",$C86="직접입력",$B86="직접입력"),"",INDEX(구분표!$I$3:$I$321,MATCH(1,(구분표!$G$3:$G$321=$B86)*(구분표!$E$3:$E$321=$C86)*(구분표!$F$3:$F$321=$D86),0)))</x:f>
        <x:v/>
      </x:c>
      <x:c r="AS86" s="21"/>
    </x:row>
    <x:row r="87" spans="1:45" s="336" customFormat="1" ht="60" customHeight="1">
      <x:c r="A87" s="335"/>
      <x:c r="B87" s="979" t="s">
        <x:v>1516</x:v>
      </x:c>
      <x:c r="C87" s="979"/>
      <x:c r="D87" s="979"/>
      <x:c r="E87" s="979"/>
      <x:c r="F87" s="979"/>
      <x:c r="G87" s="979"/>
      <x:c r="H87" s="243"/>
      <x:c r="I87" s="358"/>
      <x:c r="J87" s="358"/>
      <x:c r="K87" s="418"/>
      <x:c r="L87" s="419" t="str">
        <x:f>SUBTOTAL(3,L88:L102)&amp;"건"</x:f>
        <x:v>0건</x:v>
      </x:c>
      <x:c r="M87" s="476">
        <x:f t="shared" ref="M87:N87" si="64">SUBTOTAL(9,M88:M102)</x:f>
        <x:v>0</x:v>
      </x:c>
      <x:c r="N87" s="476">
        <x:f t="shared" si="64"/>
        <x:v>0</x:v>
      </x:c>
      <x:c r="O87" s="476">
        <x:f t="shared" ref="O87:S87" si="65">SUBTOTAL(9,O88:O102)</x:f>
        <x:v>0</x:v>
      </x:c>
      <x:c r="P87" s="476">
        <x:f t="shared" si="65"/>
        <x:v>0</x:v>
      </x:c>
      <x:c r="Q87" s="476">
        <x:f t="shared" si="65"/>
        <x:v>0</x:v>
      </x:c>
      <x:c r="R87" s="476">
        <x:f t="shared" si="65"/>
        <x:v>0</x:v>
      </x:c>
      <x:c r="S87" s="476">
        <x:f t="shared" si="65"/>
        <x:v>0</x:v>
      </x:c>
      <x:c r="T87" s="416"/>
      <x:c r="U87" s="420"/>
      <x:c r="V87" s="420"/>
      <x:c r="W87" s="186"/>
      <x:c r="X87" s="186"/>
      <x:c r="Y87" s="186"/>
      <x:c r="Z87" s="187"/>
      <x:c r="AA87" s="186"/>
      <x:c r="AC87" s="481">
        <x:f>SUBTOTAL(9,AC88:AC102)</x:f>
        <x:v>0</x:v>
      </x:c>
      <x:c r="AD87" s="481">
        <x:f>SUBTOTAL(9,AD88:AD102)</x:f>
        <x:v>0</x:v>
      </x:c>
      <x:c r="AE87" s="481">
        <x:f>SUBTOTAL(9,AE88:AE102)</x:f>
        <x:v>0</x:v>
      </x:c>
      <x:c r="AF87" s="554" t="str">
        <x:f>IF(COUNTIF(AF88:AF102,"@@")&gt;0,"@@","OK")</x:f>
        <x:v>OK</x:v>
      </x:c>
      <x:c r="AG87" s="165"/>
      <x:c r="AH87" s="481">
        <x:f>SUBTOTAL(9,AH88:AH102)</x:f>
        <x:v>0</x:v>
      </x:c>
      <x:c r="AI87" s="481">
        <x:f>SUBTOTAL(9,AI88:AI102)</x:f>
        <x:v>0</x:v>
      </x:c>
      <x:c r="AJ87" s="481">
        <x:f>SUBTOTAL(9,AJ88:AJ102)</x:f>
        <x:v>0</x:v>
      </x:c>
      <x:c r="AK87" s="554" t="str">
        <x:f>IF(COUNTIF(AK88:AK102,"@@")&gt;0,"@@","OK")</x:f>
        <x:v>OK</x:v>
      </x:c>
      <x:c r="AL87" s="165"/>
      <x:c r="AM87" s="422"/>
      <x:c r="AN87" s="554" t="str">
        <x:f>IF(COUNTIF(AN88:AN102,"@@")&gt;0,"@@","OK")</x:f>
        <x:v>OK</x:v>
      </x:c>
      <x:c r="AO87" s="422"/>
      <x:c r="AP87" s="554" t="str">
        <x:f>IF(COUNTIF(AP88:AP102,"@@")&gt;0,"@@","OK")</x:f>
        <x:v>OK</x:v>
      </x:c>
      <x:c r="AQ87" s="164"/>
      <x:c r="AR87" s="422"/>
      <x:c r="AS87" s="21"/>
    </x:row>
    <x:row r="88" spans="1:45" s="20" customFormat="1" ht="60" customHeight="1">
      <x:c r="A88" s="155" t="str">
        <x:f>IF(D88="","",COUNTA($C$7:C88)-COUNTBLANK($C$7:C88)+6)</x:f>
        <x:v/>
      </x:c>
      <x:c r="B88" s="156" t="str">
        <x: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x:f>
        <x:v/>
      </x:c>
      <x:c r="C88" s="156" t="str">
        <x:f>IF(D88="","",IF(OR(D88="교육지원과",D88="총무과",D88="인사과"),"직접입력",VLOOKUP(D88,구분표!$A$3:$C$258,3,)))</x:f>
        <x:v/>
      </x:c>
      <x:c r="D88" s="219"/>
      <x:c r="E88" s="213"/>
      <x:c r="F88" s="388" t="str">
        <x:f>IF($E88="","",IF($E88="2추","직접입력","-"))</x:f>
        <x:v/>
      </x:c>
      <x:c r="G88" s="388" t="str">
        <x:f>IF($E88="","",IF($E88="2추","직접입력","-"))</x:f>
        <x:v/>
      </x:c>
      <x:c r="H88" s="213"/>
      <x:c r="I88" s="156" t="str">
        <x:f>IF(H88="","",VLOOKUP($H88,구분표!$K$3:$M$151,2,FALSE))</x:f>
        <x:v/>
      </x:c>
      <x:c r="J88" s="156" t="str">
        <x:f>IF(I88="","",VLOOKUP($H88,구분표!$K$3:$M$151,3,FALSE))</x:f>
        <x:v/>
      </x:c>
      <x:c r="K88" s="233"/>
      <x:c r="L88" s="233"/>
      <x:c r="M88" s="459" t="str">
        <x:f>IF($E88="","",IF(OR($E88="2추",$E88="1추",$E88="본예산"),"금액입력","-"))</x:f>
        <x:v/>
      </x:c>
      <x:c r="N88" s="459" t="str">
        <x:f>IF($E88="","",IF($E88="2추","금액입력","-"))</x:f>
        <x:v/>
      </x:c>
      <x:c r="O88" s="461" t="str">
        <x:f t="shared" ref="O88:O102" si="66">IF($E88="","",SUM(M88:N88))</x:f>
        <x:v/>
      </x:c>
      <x:c r="P88" s="460"/>
      <x:c r="Q88" s="461">
        <x:f t="shared" ref="Q88:Q102" si="67">SUM(O88:P88)</x:f>
        <x:v>0</x:v>
      </x:c>
      <x:c r="R88" s="462"/>
      <x:c r="S88" s="463">
        <x:f t="shared" ref="S88:S102" si="68">SUM(O88,R88)</x:f>
        <x:v>0</x:v>
      </x:c>
      <x:c r="T88" s="162" t="str">
        <x:f t="shared" ref="T88:T102" si="69">IF(AND((Q88=0),(S88&gt;0)),"O",IF(AND((P88&lt;0),(Q88-S88&lt;0)),"O","X"))</x:f>
        <x:v>X</x:v>
      </x:c>
      <x:c r="U88" s="220"/>
      <x:c r="V88" s="331"/>
      <x:c r="W88" s="221"/>
      <x:c r="X88" s="222"/>
      <x:c r="Y88" s="220"/>
      <x:c r="Z88" s="222"/>
      <x:c r="AA88" s="220"/>
      <x:c r="AC88" s="487">
        <x:f t="shared" ref="AC88:AC102" si="70">IF($P88="",0,IF(AND(ISNUMBER(AD88),ISNUMBER(AE88)),$P88-$AD88-$AE88,0))</x:f>
        <x:v>0</x:v>
      </x:c>
      <x:c r="AD88" s="487">
        <x:f t="shared" si="3"/>
        <x:v>0</x:v>
      </x:c>
      <x:c r="AE88" s="487">
        <x:f t="shared" si="4"/>
        <x:v>0</x:v>
      </x:c>
      <x:c r="AF88" s="374" t="str">
        <x:f t="shared" ref="AF88:AF102" si="71">IF($P88="",IF(SUM($AC88:$AE88)=0,"","@@"),IF(AND($P88=SUM($AC88:$AE88),Q88&gt;=0),"OK","@@"))</x:f>
        <x:v/>
      </x:c>
      <x:c r="AG88" s="165"/>
      <x:c r="AH88" s="487">
        <x:f t="shared" si="5"/>
        <x:v>0</x:v>
      </x:c>
      <x:c r="AI88" s="487">
        <x:f t="shared" si="6"/>
        <x:v>0</x:v>
      </x:c>
      <x:c r="AJ88" s="487">
        <x:f t="shared" si="7"/>
        <x:v>0</x:v>
      </x:c>
      <x:c r="AK88" s="374" t="str">
        <x:f t="shared" si="8"/>
        <x:v/>
      </x:c>
      <x:c r="AL88" s="8"/>
      <x:c r="AM88" s="533"/>
      <x:c r="AN88" s="374" t="str">
        <x:f>IF($AM88="","",IF($AM88="세입없음","OK",IF(COUNTIF('3. 일입'!$AN$8:$AN$2000,$AM88),"OK","@@")))</x:f>
        <x:v/>
      </x:c>
      <x:c r="AO88" s="356" t="str">
        <x:f t="shared" si="9"/>
        <x:v/>
      </x:c>
      <x:c r="AP88" s="374" t="str">
        <x:f t="shared" si="10"/>
        <x:v/>
      </x:c>
      <x:c r="AQ88" s="93"/>
      <x:c r="AR88" s="374" t="str">
        <x:f t="array" ref="AR88:AR88">IF(OR($D88="",$C88="직접입력",$B88="직접입력"),"",INDEX(구분표!$I$3:$I$321,MATCH(1,(구분표!$G$3:$G$321=$B88)*(구분표!$E$3:$E$321=$C88)*(구분표!$F$3:$F$321=$D88),0)))</x:f>
        <x:v/>
      </x:c>
      <x:c r="AS88" s="21"/>
    </x:row>
    <x:row r="89" spans="1:45" s="20" customFormat="1" ht="60" customHeight="1">
      <x:c r="A89" s="155" t="str">
        <x:f>IF(D89="","",COUNTA($C$7:C89)-COUNTBLANK($C$7:C89)+6)</x:f>
        <x:v/>
      </x:c>
      <x:c r="B89" s="156" t="str">
        <x: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x:f>
        <x:v/>
      </x:c>
      <x:c r="C89" s="156" t="str">
        <x:f>IF(D89="","",IF(OR(D89="교육지원과",D89="총무과",D89="인사과"),"직접입력",VLOOKUP(D89,구분표!$A$3:$C$258,3,)))</x:f>
        <x:v/>
      </x:c>
      <x:c r="D89" s="219"/>
      <x:c r="E89" s="213"/>
      <x:c r="F89" s="388" t="str">
        <x:f t="shared" ref="F89:G102" si="72">IF($E89="","",IF($E89="2추","직접입력","-"))</x:f>
        <x:v/>
      </x:c>
      <x:c r="G89" s="388" t="str">
        <x:f t="shared" si="72"/>
        <x:v/>
      </x:c>
      <x:c r="H89" s="213"/>
      <x:c r="I89" s="156" t="str">
        <x:f>IF(H89="","",VLOOKUP($H89,구분표!$K$3:$M$151,2,FALSE))</x:f>
        <x:v/>
      </x:c>
      <x:c r="J89" s="156" t="str">
        <x:f>IF(I89="","",VLOOKUP($H89,구분표!$K$3:$M$151,3,FALSE))</x:f>
        <x:v/>
      </x:c>
      <x:c r="K89" s="233"/>
      <x:c r="L89" s="233"/>
      <x:c r="M89" s="459" t="str">
        <x:f t="shared" ref="M89:M102" si="73">IF($E89="","",IF(OR($E89="2추",$E89="1추",$E89="본예산"),"금액입력","-"))</x:f>
        <x:v/>
      </x:c>
      <x:c r="N89" s="459" t="str">
        <x:f t="shared" ref="N89:N102" si="74">IF($E89="","",IF($E89="2추","금액입력","-"))</x:f>
        <x:v/>
      </x:c>
      <x:c r="O89" s="461" t="str">
        <x:f t="shared" si="66"/>
        <x:v/>
      </x:c>
      <x:c r="P89" s="460"/>
      <x:c r="Q89" s="461">
        <x:f t="shared" si="67"/>
        <x:v>0</x:v>
      </x:c>
      <x:c r="R89" s="462"/>
      <x:c r="S89" s="463">
        <x:f t="shared" si="68"/>
        <x:v>0</x:v>
      </x:c>
      <x:c r="T89" s="162" t="str">
        <x:f t="shared" si="69"/>
        <x:v>X</x:v>
      </x:c>
      <x:c r="U89" s="220"/>
      <x:c r="V89" s="331"/>
      <x:c r="W89" s="221"/>
      <x:c r="X89" s="222"/>
      <x:c r="Y89" s="220"/>
      <x:c r="Z89" s="222"/>
      <x:c r="AA89" s="220"/>
      <x:c r="AC89" s="487">
        <x:f t="shared" si="70"/>
        <x:v>0</x:v>
      </x:c>
      <x:c r="AD89" s="487">
        <x:f t="shared" si="3"/>
        <x:v>0</x:v>
      </x:c>
      <x:c r="AE89" s="487">
        <x:f t="shared" si="4"/>
        <x:v>0</x:v>
      </x:c>
      <x:c r="AF89" s="374" t="str">
        <x:f t="shared" si="71"/>
        <x:v/>
      </x:c>
      <x:c r="AG89" s="165"/>
      <x:c r="AH89" s="487">
        <x:f t="shared" si="5"/>
        <x:v>0</x:v>
      </x:c>
      <x:c r="AI89" s="487">
        <x:f t="shared" si="6"/>
        <x:v>0</x:v>
      </x:c>
      <x:c r="AJ89" s="487">
        <x:f t="shared" si="7"/>
        <x:v>0</x:v>
      </x:c>
      <x:c r="AK89" s="374" t="str">
        <x:f t="shared" si="8"/>
        <x:v/>
      </x:c>
      <x:c r="AL89" s="8"/>
      <x:c r="AM89" s="533"/>
      <x:c r="AN89" s="374" t="str">
        <x:f>IF($AM89="","",IF($AM89="세입없음","OK",IF(COUNTIF('3. 일입'!$AN$8:$AN$2000,$AM89),"OK","@@")))</x:f>
        <x:v/>
      </x:c>
      <x:c r="AO89" s="356" t="str">
        <x:f t="shared" si="9"/>
        <x:v/>
      </x:c>
      <x:c r="AP89" s="374" t="str">
        <x:f t="shared" si="10"/>
        <x:v/>
      </x:c>
      <x:c r="AQ89" s="93"/>
      <x:c r="AR89" s="374" t="str">
        <x:f t="array" ref="AR89:AR89">IF(OR($D89="",$C89="직접입력",$B89="직접입력"),"",INDEX(구분표!$I$3:$I$321,MATCH(1,(구분표!$G$3:$G$321=$B89)*(구분표!$E$3:$E$321=$C89)*(구분표!$F$3:$F$321=$D89),0)))</x:f>
        <x:v/>
      </x:c>
      <x:c r="AS89" s="21"/>
    </x:row>
    <x:row r="90" spans="1:45" s="20" customFormat="1" ht="60" customHeight="1">
      <x:c r="A90" s="155" t="str">
        <x:f>IF(D90="","",COUNTA($C$7:C90)-COUNTBLANK($C$7:C90)+6)</x:f>
        <x:v/>
      </x:c>
      <x:c r="B90" s="156" t="str">
        <x: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x:f>
        <x:v/>
      </x:c>
      <x:c r="C90" s="156" t="str">
        <x:f>IF(D90="","",IF(OR(D90="교육지원과",D90="총무과",D90="인사과"),"직접입력",VLOOKUP(D90,구분표!$A$3:$C$258,3,)))</x:f>
        <x:v/>
      </x:c>
      <x:c r="D90" s="219"/>
      <x:c r="E90" s="213"/>
      <x:c r="F90" s="388" t="str">
        <x:f t="shared" si="72"/>
        <x:v/>
      </x:c>
      <x:c r="G90" s="388" t="str">
        <x:f t="shared" si="72"/>
        <x:v/>
      </x:c>
      <x:c r="H90" s="213"/>
      <x:c r="I90" s="156" t="str">
        <x:f>IF(H90="","",VLOOKUP($H90,구분표!$K$3:$M$151,2,FALSE))</x:f>
        <x:v/>
      </x:c>
      <x:c r="J90" s="156" t="str">
        <x:f>IF(I90="","",VLOOKUP($H90,구분표!$K$3:$M$151,3,FALSE))</x:f>
        <x:v/>
      </x:c>
      <x:c r="K90" s="233"/>
      <x:c r="L90" s="233"/>
      <x:c r="M90" s="459" t="str">
        <x:f t="shared" si="73"/>
        <x:v/>
      </x:c>
      <x:c r="N90" s="459" t="str">
        <x:f t="shared" si="74"/>
        <x:v/>
      </x:c>
      <x:c r="O90" s="461" t="str">
        <x:f t="shared" si="66"/>
        <x:v/>
      </x:c>
      <x:c r="P90" s="460"/>
      <x:c r="Q90" s="461">
        <x:f t="shared" si="67"/>
        <x:v>0</x:v>
      </x:c>
      <x:c r="R90" s="462"/>
      <x:c r="S90" s="463">
        <x:f t="shared" si="68"/>
        <x:v>0</x:v>
      </x:c>
      <x:c r="T90" s="162" t="str">
        <x:f t="shared" si="69"/>
        <x:v>X</x:v>
      </x:c>
      <x:c r="U90" s="220"/>
      <x:c r="V90" s="331"/>
      <x:c r="W90" s="221"/>
      <x:c r="X90" s="222"/>
      <x:c r="Y90" s="220"/>
      <x:c r="Z90" s="222"/>
      <x:c r="AA90" s="220"/>
      <x:c r="AC90" s="487">
        <x:f t="shared" si="70"/>
        <x:v>0</x:v>
      </x:c>
      <x:c r="AD90" s="487">
        <x:f t="shared" si="3"/>
        <x:v>0</x:v>
      </x:c>
      <x:c r="AE90" s="487">
        <x:f t="shared" si="4"/>
        <x:v>0</x:v>
      </x:c>
      <x:c r="AF90" s="374" t="str">
        <x:f t="shared" si="71"/>
        <x:v/>
      </x:c>
      <x:c r="AG90" s="165"/>
      <x:c r="AH90" s="487">
        <x:f t="shared" si="5"/>
        <x:v>0</x:v>
      </x:c>
      <x:c r="AI90" s="487">
        <x:f t="shared" si="6"/>
        <x:v>0</x:v>
      </x:c>
      <x:c r="AJ90" s="487">
        <x:f t="shared" si="7"/>
        <x:v>0</x:v>
      </x:c>
      <x:c r="AK90" s="374" t="str">
        <x:f t="shared" si="8"/>
        <x:v/>
      </x:c>
      <x:c r="AL90" s="8"/>
      <x:c r="AM90" s="533"/>
      <x:c r="AN90" s="374" t="str">
        <x:f>IF($AM90="","",IF($AM90="세입없음","OK",IF(COUNTIF('3. 일입'!$AN$8:$AN$2000,$AM90),"OK","@@")))</x:f>
        <x:v/>
      </x:c>
      <x:c r="AO90" s="356" t="str">
        <x:f t="shared" si="9"/>
        <x:v/>
      </x:c>
      <x:c r="AP90" s="374" t="str">
        <x:f t="shared" si="10"/>
        <x:v/>
      </x:c>
      <x:c r="AQ90" s="93"/>
      <x:c r="AR90" s="374" t="str">
        <x:f t="array" ref="AR90:AR90">IF(OR($D90="",$C90="직접입력",$B90="직접입력"),"",INDEX(구분표!$I$3:$I$321,MATCH(1,(구분표!$G$3:$G$321=$B90)*(구분표!$E$3:$E$321=$C90)*(구분표!$F$3:$F$321=$D90),0)))</x:f>
        <x:v/>
      </x:c>
      <x:c r="AS90" s="21"/>
    </x:row>
    <x:row r="91" spans="1:45" s="20" customFormat="1" ht="60" customHeight="1">
      <x:c r="A91" s="155" t="str">
        <x:f>IF(D91="","",COUNTA($C$7:C91)-COUNTBLANK($C$7:C91)+6)</x:f>
        <x:v/>
      </x:c>
      <x:c r="B91" s="156" t="str">
        <x: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x:f>
        <x:v/>
      </x:c>
      <x:c r="C91" s="156" t="str">
        <x:f>IF(D91="","",IF(OR(D91="교육지원과",D91="총무과",D91="인사과"),"직접입력",VLOOKUP(D91,구분표!$A$3:$C$258,3,)))</x:f>
        <x:v/>
      </x:c>
      <x:c r="D91" s="219"/>
      <x:c r="E91" s="213"/>
      <x:c r="F91" s="388" t="str">
        <x:f t="shared" si="72"/>
        <x:v/>
      </x:c>
      <x:c r="G91" s="388" t="str">
        <x:f t="shared" si="72"/>
        <x:v/>
      </x:c>
      <x:c r="H91" s="213"/>
      <x:c r="I91" s="156" t="str">
        <x:f>IF(H91="","",VLOOKUP($H91,구분표!$K$3:$M$151,2,FALSE))</x:f>
        <x:v/>
      </x:c>
      <x:c r="J91" s="156" t="str">
        <x:f>IF(I91="","",VLOOKUP($H91,구분표!$K$3:$M$151,3,FALSE))</x:f>
        <x:v/>
      </x:c>
      <x:c r="K91" s="233"/>
      <x:c r="L91" s="233"/>
      <x:c r="M91" s="459" t="str">
        <x:f t="shared" si="73"/>
        <x:v/>
      </x:c>
      <x:c r="N91" s="459" t="str">
        <x:f t="shared" si="74"/>
        <x:v/>
      </x:c>
      <x:c r="O91" s="461" t="str">
        <x:f t="shared" si="66"/>
        <x:v/>
      </x:c>
      <x:c r="P91" s="460"/>
      <x:c r="Q91" s="461">
        <x:f t="shared" si="67"/>
        <x:v>0</x:v>
      </x:c>
      <x:c r="R91" s="462"/>
      <x:c r="S91" s="463">
        <x:f t="shared" si="68"/>
        <x:v>0</x:v>
      </x:c>
      <x:c r="T91" s="162" t="str">
        <x:f t="shared" si="69"/>
        <x:v>X</x:v>
      </x:c>
      <x:c r="U91" s="220"/>
      <x:c r="V91" s="331"/>
      <x:c r="W91" s="221"/>
      <x:c r="X91" s="222"/>
      <x:c r="Y91" s="220"/>
      <x:c r="Z91" s="222"/>
      <x:c r="AA91" s="220"/>
      <x:c r="AC91" s="487">
        <x:f t="shared" si="70"/>
        <x:v>0</x:v>
      </x:c>
      <x:c r="AD91" s="487">
        <x:f t="shared" si="3"/>
        <x:v>0</x:v>
      </x:c>
      <x:c r="AE91" s="487">
        <x:f t="shared" si="4"/>
        <x:v>0</x:v>
      </x:c>
      <x:c r="AF91" s="374" t="str">
        <x:f t="shared" si="71"/>
        <x:v/>
      </x:c>
      <x:c r="AG91" s="165"/>
      <x:c r="AH91" s="487">
        <x:f t="shared" si="5"/>
        <x:v>0</x:v>
      </x:c>
      <x:c r="AI91" s="487">
        <x:f t="shared" si="6"/>
        <x:v>0</x:v>
      </x:c>
      <x:c r="AJ91" s="487">
        <x:f t="shared" si="7"/>
        <x:v>0</x:v>
      </x:c>
      <x:c r="AK91" s="374" t="str">
        <x:f t="shared" si="8"/>
        <x:v/>
      </x:c>
      <x:c r="AL91" s="8"/>
      <x:c r="AM91" s="533"/>
      <x:c r="AN91" s="374" t="str">
        <x:f>IF($AM91="","",IF($AM91="세입없음","OK",IF(COUNTIF('3. 일입'!$AN$8:$AN$2000,$AM91),"OK","@@")))</x:f>
        <x:v/>
      </x:c>
      <x:c r="AO91" s="356" t="str">
        <x:f t="shared" si="9"/>
        <x:v/>
      </x:c>
      <x:c r="AP91" s="374" t="str">
        <x:f t="shared" si="10"/>
        <x:v/>
      </x:c>
      <x:c r="AQ91" s="93"/>
      <x:c r="AR91" s="374" t="str">
        <x:f t="array" ref="AR91:AR91">IF(OR($D91="",$C91="직접입력",$B91="직접입력"),"",INDEX(구분표!$I$3:$I$321,MATCH(1,(구분표!$G$3:$G$321=$B91)*(구분표!$E$3:$E$321=$C91)*(구분표!$F$3:$F$321=$D91),0)))</x:f>
        <x:v/>
      </x:c>
      <x:c r="AS91" s="21"/>
    </x:row>
    <x:row r="92" spans="1:45" s="20" customFormat="1" ht="60" customHeight="1">
      <x:c r="A92" s="155" t="str">
        <x:f>IF(D92="","",COUNTA($C$7:C92)-COUNTBLANK($C$7:C92)+6)</x:f>
        <x:v/>
      </x:c>
      <x:c r="B92" s="156" t="str">
        <x: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x:f>
        <x:v/>
      </x:c>
      <x:c r="C92" s="156" t="str">
        <x:f>IF(D92="","",IF(OR(D92="교육지원과",D92="총무과",D92="인사과"),"직접입력",VLOOKUP(D92,구분표!$A$3:$C$258,3,)))</x:f>
        <x:v/>
      </x:c>
      <x:c r="D92" s="219"/>
      <x:c r="E92" s="213"/>
      <x:c r="F92" s="388" t="str">
        <x:f t="shared" si="72"/>
        <x:v/>
      </x:c>
      <x:c r="G92" s="388" t="str">
        <x:f t="shared" si="72"/>
        <x:v/>
      </x:c>
      <x:c r="H92" s="213"/>
      <x:c r="I92" s="156" t="str">
        <x:f>IF(H92="","",VLOOKUP($H92,구분표!$K$3:$M$151,2,FALSE))</x:f>
        <x:v/>
      </x:c>
      <x:c r="J92" s="156" t="str">
        <x:f>IF(I92="","",VLOOKUP($H92,구분표!$K$3:$M$151,3,FALSE))</x:f>
        <x:v/>
      </x:c>
      <x:c r="K92" s="233"/>
      <x:c r="L92" s="233"/>
      <x:c r="M92" s="459" t="str">
        <x:f t="shared" si="73"/>
        <x:v/>
      </x:c>
      <x:c r="N92" s="459" t="str">
        <x:f t="shared" si="74"/>
        <x:v/>
      </x:c>
      <x:c r="O92" s="461" t="str">
        <x:f t="shared" si="66"/>
        <x:v/>
      </x:c>
      <x:c r="P92" s="460"/>
      <x:c r="Q92" s="461">
        <x:f t="shared" si="67"/>
        <x:v>0</x:v>
      </x:c>
      <x:c r="R92" s="462"/>
      <x:c r="S92" s="463">
        <x:f t="shared" si="68"/>
        <x:v>0</x:v>
      </x:c>
      <x:c r="T92" s="162" t="str">
        <x:f t="shared" si="69"/>
        <x:v>X</x:v>
      </x:c>
      <x:c r="U92" s="220"/>
      <x:c r="V92" s="331"/>
      <x:c r="W92" s="221"/>
      <x:c r="X92" s="222"/>
      <x:c r="Y92" s="220"/>
      <x:c r="Z92" s="222"/>
      <x:c r="AA92" s="220"/>
      <x:c r="AC92" s="487">
        <x:f t="shared" si="70"/>
        <x:v>0</x:v>
      </x:c>
      <x:c r="AD92" s="487">
        <x:f t="shared" si="3"/>
        <x:v>0</x:v>
      </x:c>
      <x:c r="AE92" s="487">
        <x:f t="shared" si="4"/>
        <x:v>0</x:v>
      </x:c>
      <x:c r="AF92" s="374" t="str">
        <x:f t="shared" si="71"/>
        <x:v/>
      </x:c>
      <x:c r="AG92" s="165"/>
      <x:c r="AH92" s="487">
        <x:f t="shared" si="5"/>
        <x:v>0</x:v>
      </x:c>
      <x:c r="AI92" s="487">
        <x:f t="shared" si="6"/>
        <x:v>0</x:v>
      </x:c>
      <x:c r="AJ92" s="487">
        <x:f t="shared" si="7"/>
        <x:v>0</x:v>
      </x:c>
      <x:c r="AK92" s="374" t="str">
        <x:f t="shared" si="8"/>
        <x:v/>
      </x:c>
      <x:c r="AL92" s="8"/>
      <x:c r="AM92" s="533"/>
      <x:c r="AN92" s="374" t="str">
        <x:f>IF($AM92="","",IF($AM92="세입없음","OK",IF(COUNTIF('3. 일입'!$AN$8:$AN$2000,$AM92),"OK","@@")))</x:f>
        <x:v/>
      </x:c>
      <x:c r="AO92" s="356" t="str">
        <x:f t="shared" si="9"/>
        <x:v/>
      </x:c>
      <x:c r="AP92" s="374" t="str">
        <x:f t="shared" si="10"/>
        <x:v/>
      </x:c>
      <x:c r="AQ92" s="93"/>
      <x:c r="AR92" s="374" t="str">
        <x:f t="array" ref="AR92:AR92">IF(OR($D92="",$C92="직접입력",$B92="직접입력"),"",INDEX(구분표!$I$3:$I$321,MATCH(1,(구분표!$G$3:$G$321=$B92)*(구분표!$E$3:$E$321=$C92)*(구분표!$F$3:$F$321=$D92),0)))</x:f>
        <x:v/>
      </x:c>
      <x:c r="AS92" s="21"/>
    </x:row>
    <x:row r="93" spans="1:45" s="20" customFormat="1" ht="60" customHeight="1">
      <x:c r="A93" s="155" t="str">
        <x:f>IF(D93="","",COUNTA($C$7:C93)-COUNTBLANK($C$7:C93)+6)</x:f>
        <x:v/>
      </x:c>
      <x:c r="B93" s="156" t="str">
        <x: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x:f>
        <x:v/>
      </x:c>
      <x:c r="C93" s="156" t="str">
        <x:f>IF(D93="","",IF(OR(D93="교육지원과",D93="총무과",D93="인사과"),"직접입력",VLOOKUP(D93,구분표!$A$3:$C$258,3,)))</x:f>
        <x:v/>
      </x:c>
      <x:c r="D93" s="219"/>
      <x:c r="E93" s="213"/>
      <x:c r="F93" s="388" t="str">
        <x:f t="shared" si="72"/>
        <x:v/>
      </x:c>
      <x:c r="G93" s="388" t="str">
        <x:f t="shared" si="72"/>
        <x:v/>
      </x:c>
      <x:c r="H93" s="213"/>
      <x:c r="I93" s="156" t="str">
        <x:f>IF(H93="","",VLOOKUP($H93,구분표!$K$3:$M$151,2,FALSE))</x:f>
        <x:v/>
      </x:c>
      <x:c r="J93" s="156" t="str">
        <x:f>IF(I93="","",VLOOKUP($H93,구분표!$K$3:$M$151,3,FALSE))</x:f>
        <x:v/>
      </x:c>
      <x:c r="K93" s="233"/>
      <x:c r="L93" s="233"/>
      <x:c r="M93" s="459" t="str">
        <x:f t="shared" si="73"/>
        <x:v/>
      </x:c>
      <x:c r="N93" s="459" t="str">
        <x:f t="shared" si="74"/>
        <x:v/>
      </x:c>
      <x:c r="O93" s="461" t="str">
        <x:f t="shared" si="66"/>
        <x:v/>
      </x:c>
      <x:c r="P93" s="460"/>
      <x:c r="Q93" s="461">
        <x:f t="shared" si="67"/>
        <x:v>0</x:v>
      </x:c>
      <x:c r="R93" s="462"/>
      <x:c r="S93" s="463">
        <x:f t="shared" si="68"/>
        <x:v>0</x:v>
      </x:c>
      <x:c r="T93" s="162" t="str">
        <x:f t="shared" si="69"/>
        <x:v>X</x:v>
      </x:c>
      <x:c r="U93" s="220"/>
      <x:c r="V93" s="331"/>
      <x:c r="W93" s="221"/>
      <x:c r="X93" s="222"/>
      <x:c r="Y93" s="220"/>
      <x:c r="Z93" s="222"/>
      <x:c r="AA93" s="220"/>
      <x:c r="AC93" s="487">
        <x:f t="shared" si="70"/>
        <x:v>0</x:v>
      </x:c>
      <x:c r="AD93" s="487">
        <x:f t="shared" si="3"/>
        <x:v>0</x:v>
      </x:c>
      <x:c r="AE93" s="487">
        <x:f t="shared" si="4"/>
        <x:v>0</x:v>
      </x:c>
      <x:c r="AF93" s="374" t="str">
        <x:f t="shared" si="71"/>
        <x:v/>
      </x:c>
      <x:c r="AG93" s="165"/>
      <x:c r="AH93" s="487">
        <x:f t="shared" si="5"/>
        <x:v>0</x:v>
      </x:c>
      <x:c r="AI93" s="487">
        <x:f t="shared" si="6"/>
        <x:v>0</x:v>
      </x:c>
      <x:c r="AJ93" s="487">
        <x:f t="shared" si="7"/>
        <x:v>0</x:v>
      </x:c>
      <x:c r="AK93" s="374" t="str">
        <x:f t="shared" si="8"/>
        <x:v/>
      </x:c>
      <x:c r="AL93" s="8"/>
      <x:c r="AM93" s="533"/>
      <x:c r="AN93" s="374" t="str">
        <x:f>IF($AM93="","",IF($AM93="세입없음","OK",IF(COUNTIF('3. 일입'!$AN$8:$AN$2000,$AM93),"OK","@@")))</x:f>
        <x:v/>
      </x:c>
      <x:c r="AO93" s="356" t="str">
        <x:f t="shared" si="9"/>
        <x:v/>
      </x:c>
      <x:c r="AP93" s="374" t="str">
        <x:f t="shared" si="10"/>
        <x:v/>
      </x:c>
      <x:c r="AQ93" s="93"/>
      <x:c r="AR93" s="374" t="str">
        <x:f t="array" ref="AR93:AR93">IF(OR($D93="",$C93="직접입력",$B93="직접입력"),"",INDEX(구분표!$I$3:$I$321,MATCH(1,(구분표!$G$3:$G$321=$B93)*(구분표!$E$3:$E$321=$C93)*(구분표!$F$3:$F$321=$D93),0)))</x:f>
        <x:v/>
      </x:c>
      <x:c r="AS93" s="21"/>
    </x:row>
    <x:row r="94" spans="1:45" s="157" customFormat="1" ht="60" customHeight="1">
      <x:c r="A94" s="155" t="str">
        <x:f>IF(D94="","",COUNTA($C$7:C94)-COUNTBLANK($C$7:C94)+6)</x:f>
        <x:v/>
      </x:c>
      <x:c r="B94" s="156" t="str">
        <x: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x:f>
        <x:v/>
      </x:c>
      <x:c r="C94" s="156" t="str">
        <x:f>IF(D94="","",IF(OR(D94="교육지원과",D94="총무과",D94="인사과"),"직접입력",VLOOKUP(D94,구분표!$A$3:$C$258,3,)))</x:f>
        <x:v/>
      </x:c>
      <x:c r="D94" s="219"/>
      <x:c r="E94" s="213"/>
      <x:c r="F94" s="388" t="str">
        <x:f t="shared" si="72"/>
        <x:v/>
      </x:c>
      <x:c r="G94" s="388" t="str">
        <x:f t="shared" si="72"/>
        <x:v/>
      </x:c>
      <x:c r="H94" s="213"/>
      <x:c r="I94" s="156" t="str">
        <x:f>IF(H94="","",VLOOKUP($H94,구분표!$K$3:$M$151,2,FALSE))</x:f>
        <x:v/>
      </x:c>
      <x:c r="J94" s="156" t="str">
        <x:f>IF(I94="","",VLOOKUP($H94,구분표!$K$3:$M$151,3,FALSE))</x:f>
        <x:v/>
      </x:c>
      <x:c r="K94" s="233"/>
      <x:c r="L94" s="233"/>
      <x:c r="M94" s="459" t="str">
        <x:f t="shared" si="73"/>
        <x:v/>
      </x:c>
      <x:c r="N94" s="459" t="str">
        <x:f t="shared" si="74"/>
        <x:v/>
      </x:c>
      <x:c r="O94" s="461" t="str">
        <x:f t="shared" si="66"/>
        <x:v/>
      </x:c>
      <x:c r="P94" s="460"/>
      <x:c r="Q94" s="461">
        <x:f t="shared" si="67"/>
        <x:v>0</x:v>
      </x:c>
      <x:c r="R94" s="462"/>
      <x:c r="S94" s="463">
        <x:f t="shared" si="68"/>
        <x:v>0</x:v>
      </x:c>
      <x:c r="T94" s="162" t="str">
        <x:f t="shared" si="69"/>
        <x:v>X</x:v>
      </x:c>
      <x:c r="U94" s="220"/>
      <x:c r="V94" s="331"/>
      <x:c r="W94" s="221"/>
      <x:c r="X94" s="222"/>
      <x:c r="Y94" s="220"/>
      <x:c r="Z94" s="222"/>
      <x:c r="AA94" s="220"/>
      <x:c r="AB94" s="20"/>
      <x:c r="AC94" s="487">
        <x:f t="shared" si="70"/>
        <x:v>0</x:v>
      </x:c>
      <x:c r="AD94" s="487">
        <x:f t="shared" si="3"/>
        <x:v>0</x:v>
      </x:c>
      <x:c r="AE94" s="487">
        <x:f t="shared" si="4"/>
        <x:v>0</x:v>
      </x:c>
      <x:c r="AF94" s="374" t="str">
        <x:f t="shared" si="71"/>
        <x:v/>
      </x:c>
      <x:c r="AG94" s="165"/>
      <x:c r="AH94" s="487">
        <x:f t="shared" si="5"/>
        <x:v>0</x:v>
      </x:c>
      <x:c r="AI94" s="487">
        <x:f t="shared" si="6"/>
        <x:v>0</x:v>
      </x:c>
      <x:c r="AJ94" s="487">
        <x:f t="shared" si="7"/>
        <x:v>0</x:v>
      </x:c>
      <x:c r="AK94" s="374" t="str">
        <x:f t="shared" si="8"/>
        <x:v/>
      </x:c>
      <x:c r="AL94" s="8"/>
      <x:c r="AM94" s="533"/>
      <x:c r="AN94" s="374" t="str">
        <x:f>IF($AM94="","",IF($AM94="세입없음","OK",IF(COUNTIF('3. 일입'!$AN$8:$AN$2000,$AM94),"OK","@@")))</x:f>
        <x:v/>
      </x:c>
      <x:c r="AO94" s="356" t="str">
        <x:f t="shared" si="9"/>
        <x:v/>
      </x:c>
      <x:c r="AP94" s="374" t="str">
        <x:f t="shared" si="10"/>
        <x:v/>
      </x:c>
      <x:c r="AQ94" s="93"/>
      <x:c r="AR94" s="374" t="str">
        <x:f t="array" ref="AR94:AR94">IF(OR($D94="",$C94="직접입력",$B94="직접입력"),"",INDEX(구분표!$I$3:$I$321,MATCH(1,(구분표!$G$3:$G$321=$B94)*(구분표!$E$3:$E$321=$C94)*(구분표!$F$3:$F$321=$D94),0)))</x:f>
        <x:v/>
      </x:c>
      <x:c r="AS94" s="21"/>
    </x:row>
    <x:row r="95" spans="1:45" s="20" customFormat="1" ht="60" customHeight="1">
      <x:c r="A95" s="155" t="str">
        <x:f>IF(D95="","",COUNTA($C$7:C95)-COUNTBLANK($C$7:C95)+6)</x:f>
        <x:v/>
      </x:c>
      <x:c r="B95" s="156" t="str">
        <x: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x:f>
        <x:v/>
      </x:c>
      <x:c r="C95" s="156" t="str">
        <x:f>IF(D95="","",IF(OR(D95="교육지원과",D95="총무과",D95="인사과"),"직접입력",VLOOKUP(D95,구분표!$A$3:$C$258,3,)))</x:f>
        <x:v/>
      </x:c>
      <x:c r="D95" s="219"/>
      <x:c r="E95" s="213"/>
      <x:c r="F95" s="388" t="str">
        <x:f t="shared" si="72"/>
        <x:v/>
      </x:c>
      <x:c r="G95" s="388" t="str">
        <x:f t="shared" si="72"/>
        <x:v/>
      </x:c>
      <x:c r="H95" s="213"/>
      <x:c r="I95" s="156" t="str">
        <x:f>IF(H95="","",VLOOKUP($H95,구분표!$K$3:$M$151,2,FALSE))</x:f>
        <x:v/>
      </x:c>
      <x:c r="J95" s="156" t="str">
        <x:f>IF(I95="","",VLOOKUP($H95,구분표!$K$3:$M$151,3,FALSE))</x:f>
        <x:v/>
      </x:c>
      <x:c r="K95" s="233"/>
      <x:c r="L95" s="233"/>
      <x:c r="M95" s="459" t="str">
        <x:f t="shared" si="73"/>
        <x:v/>
      </x:c>
      <x:c r="N95" s="459" t="str">
        <x:f t="shared" si="74"/>
        <x:v/>
      </x:c>
      <x:c r="O95" s="461" t="str">
        <x:f t="shared" si="66"/>
        <x:v/>
      </x:c>
      <x:c r="P95" s="460"/>
      <x:c r="Q95" s="461">
        <x:f t="shared" si="67"/>
        <x:v>0</x:v>
      </x:c>
      <x:c r="R95" s="462"/>
      <x:c r="S95" s="463">
        <x:f t="shared" si="68"/>
        <x:v>0</x:v>
      </x:c>
      <x:c r="T95" s="162" t="str">
        <x:f t="shared" si="69"/>
        <x:v>X</x:v>
      </x:c>
      <x:c r="U95" s="220"/>
      <x:c r="V95" s="331"/>
      <x:c r="W95" s="221"/>
      <x:c r="X95" s="222"/>
      <x:c r="Y95" s="220"/>
      <x:c r="Z95" s="222"/>
      <x:c r="AA95" s="220"/>
      <x:c r="AC95" s="487">
        <x:f t="shared" si="70"/>
        <x:v>0</x:v>
      </x:c>
      <x:c r="AD95" s="487">
        <x:f t="shared" si="3"/>
        <x:v>0</x:v>
      </x:c>
      <x:c r="AE95" s="487">
        <x:f t="shared" si="4"/>
        <x:v>0</x:v>
      </x:c>
      <x:c r="AF95" s="374" t="str">
        <x:f t="shared" si="71"/>
        <x:v/>
      </x:c>
      <x:c r="AG95" s="165"/>
      <x:c r="AH95" s="487">
        <x:f t="shared" si="5"/>
        <x:v>0</x:v>
      </x:c>
      <x:c r="AI95" s="487">
        <x:f t="shared" si="6"/>
        <x:v>0</x:v>
      </x:c>
      <x:c r="AJ95" s="487">
        <x:f t="shared" si="7"/>
        <x:v>0</x:v>
      </x:c>
      <x:c r="AK95" s="374" t="str">
        <x:f t="shared" si="8"/>
        <x:v/>
      </x:c>
      <x:c r="AL95" s="8"/>
      <x:c r="AM95" s="533"/>
      <x:c r="AN95" s="374" t="str">
        <x:f>IF($AM95="","",IF($AM95="세입없음","OK",IF(COUNTIF('3. 일입'!$AN$8:$AN$2000,$AM95),"OK","@@")))</x:f>
        <x:v/>
      </x:c>
      <x:c r="AO95" s="356" t="str">
        <x:f t="shared" si="9"/>
        <x:v/>
      </x:c>
      <x:c r="AP95" s="374" t="str">
        <x:f t="shared" si="10"/>
        <x:v/>
      </x:c>
      <x:c r="AQ95" s="93"/>
      <x:c r="AR95" s="374" t="str">
        <x:f t="array" ref="AR95:AR95">IF(OR($D95="",$C95="직접입력",$B95="직접입력"),"",INDEX(구분표!$I$3:$I$321,MATCH(1,(구분표!$G$3:$G$321=$B95)*(구분표!$E$3:$E$321=$C95)*(구분표!$F$3:$F$321=$D95),0)))</x:f>
        <x:v/>
      </x:c>
      <x:c r="AS95" s="21"/>
    </x:row>
    <x:row r="96" spans="1:45" s="20" customFormat="1" ht="60" customHeight="1">
      <x:c r="A96" s="155" t="str">
        <x:f>IF(D96="","",COUNTA($C$7:C96)-COUNTBLANK($C$7:C96)+6)</x:f>
        <x:v/>
      </x:c>
      <x:c r="B96" s="156" t="str">
        <x: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x:f>
        <x:v/>
      </x:c>
      <x:c r="C96" s="156" t="str">
        <x:f>IF(D96="","",IF(OR(D96="교육지원과",D96="총무과",D96="인사과"),"직접입력",VLOOKUP(D96,구분표!$A$3:$C$258,3,)))</x:f>
        <x:v/>
      </x:c>
      <x:c r="D96" s="219"/>
      <x:c r="E96" s="213"/>
      <x:c r="F96" s="388" t="str">
        <x:f t="shared" si="72"/>
        <x:v/>
      </x:c>
      <x:c r="G96" s="388" t="str">
        <x:f t="shared" si="72"/>
        <x:v/>
      </x:c>
      <x:c r="H96" s="213"/>
      <x:c r="I96" s="156" t="str">
        <x:f>IF(H96="","",VLOOKUP($H96,구분표!$K$3:$M$151,2,FALSE))</x:f>
        <x:v/>
      </x:c>
      <x:c r="J96" s="156" t="str">
        <x:f>IF(I96="","",VLOOKUP($H96,구분표!$K$3:$M$151,3,FALSE))</x:f>
        <x:v/>
      </x:c>
      <x:c r="K96" s="233"/>
      <x:c r="L96" s="233"/>
      <x:c r="M96" s="459" t="str">
        <x:f t="shared" si="73"/>
        <x:v/>
      </x:c>
      <x:c r="N96" s="459" t="str">
        <x:f t="shared" si="74"/>
        <x:v/>
      </x:c>
      <x:c r="O96" s="461" t="str">
        <x:f t="shared" si="66"/>
        <x:v/>
      </x:c>
      <x:c r="P96" s="460"/>
      <x:c r="Q96" s="461">
        <x:f t="shared" si="67"/>
        <x:v>0</x:v>
      </x:c>
      <x:c r="R96" s="462"/>
      <x:c r="S96" s="463">
        <x:f t="shared" si="68"/>
        <x:v>0</x:v>
      </x:c>
      <x:c r="T96" s="162" t="str">
        <x:f t="shared" si="69"/>
        <x:v>X</x:v>
      </x:c>
      <x:c r="U96" s="220"/>
      <x:c r="V96" s="331"/>
      <x:c r="W96" s="221"/>
      <x:c r="X96" s="222"/>
      <x:c r="Y96" s="220"/>
      <x:c r="Z96" s="222"/>
      <x:c r="AA96" s="220"/>
      <x:c r="AC96" s="487">
        <x:f t="shared" si="70"/>
        <x:v>0</x:v>
      </x:c>
      <x:c r="AD96" s="487">
        <x:f t="shared" si="3"/>
        <x:v>0</x:v>
      </x:c>
      <x:c r="AE96" s="487">
        <x:f t="shared" si="4"/>
        <x:v>0</x:v>
      </x:c>
      <x:c r="AF96" s="374" t="str">
        <x:f t="shared" si="71"/>
        <x:v/>
      </x:c>
      <x:c r="AG96" s="165"/>
      <x:c r="AH96" s="487">
        <x:f t="shared" si="5"/>
        <x:v>0</x:v>
      </x:c>
      <x:c r="AI96" s="487">
        <x:f t="shared" si="6"/>
        <x:v>0</x:v>
      </x:c>
      <x:c r="AJ96" s="487">
        <x:f t="shared" si="7"/>
        <x:v>0</x:v>
      </x:c>
      <x:c r="AK96" s="374" t="str">
        <x:f t="shared" si="8"/>
        <x:v/>
      </x:c>
      <x:c r="AL96" s="8"/>
      <x:c r="AM96" s="533"/>
      <x:c r="AN96" s="374" t="str">
        <x:f>IF($AM96="","",IF($AM96="세입없음","OK",IF(COUNTIF('3. 일입'!$AN$8:$AN$2000,$AM96),"OK","@@")))</x:f>
        <x:v/>
      </x:c>
      <x:c r="AO96" s="356" t="str">
        <x:f t="shared" si="9"/>
        <x:v/>
      </x:c>
      <x:c r="AP96" s="374" t="str">
        <x:f t="shared" si="10"/>
        <x:v/>
      </x:c>
      <x:c r="AQ96" s="93"/>
      <x:c r="AR96" s="374" t="str">
        <x:f t="array" ref="AR96:AR96">IF(OR($D96="",$C96="직접입력",$B96="직접입력"),"",INDEX(구분표!$I$3:$I$321,MATCH(1,(구분표!$G$3:$G$321=$B96)*(구분표!$E$3:$E$321=$C96)*(구분표!$F$3:$F$321=$D96),0)))</x:f>
        <x:v/>
      </x:c>
      <x:c r="AS96" s="21"/>
    </x:row>
    <x:row r="97" spans="1:45" s="20" customFormat="1" ht="60" customHeight="1">
      <x:c r="A97" s="155" t="str">
        <x:f>IF(D97="","",COUNTA($C$7:C97)-COUNTBLANK($C$7:C97)+6)</x:f>
        <x:v/>
      </x:c>
      <x:c r="B97" s="156" t="str">
        <x: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x:f>
        <x:v/>
      </x:c>
      <x:c r="C97" s="156" t="str">
        <x:f>IF(D97="","",IF(OR(D97="교육지원과",D97="총무과",D97="인사과"),"직접입력",VLOOKUP(D97,구분표!$A$3:$C$258,3,)))</x:f>
        <x:v/>
      </x:c>
      <x:c r="D97" s="219"/>
      <x:c r="E97" s="213"/>
      <x:c r="F97" s="388" t="str">
        <x:f t="shared" si="72"/>
        <x:v/>
      </x:c>
      <x:c r="G97" s="388" t="str">
        <x:f t="shared" si="72"/>
        <x:v/>
      </x:c>
      <x:c r="H97" s="213"/>
      <x:c r="I97" s="156" t="str">
        <x:f>IF(H97="","",VLOOKUP($H97,구분표!$K$3:$M$151,2,FALSE))</x:f>
        <x:v/>
      </x:c>
      <x:c r="J97" s="156" t="str">
        <x:f>IF(I97="","",VLOOKUP($H97,구분표!$K$3:$M$151,3,FALSE))</x:f>
        <x:v/>
      </x:c>
      <x:c r="K97" s="233"/>
      <x:c r="L97" s="233"/>
      <x:c r="M97" s="459" t="str">
        <x:f t="shared" si="73"/>
        <x:v/>
      </x:c>
      <x:c r="N97" s="459" t="str">
        <x:f t="shared" si="74"/>
        <x:v/>
      </x:c>
      <x:c r="O97" s="461" t="str">
        <x:f t="shared" si="66"/>
        <x:v/>
      </x:c>
      <x:c r="P97" s="460"/>
      <x:c r="Q97" s="461">
        <x:f t="shared" si="67"/>
        <x:v>0</x:v>
      </x:c>
      <x:c r="R97" s="462"/>
      <x:c r="S97" s="463">
        <x:f t="shared" si="68"/>
        <x:v>0</x:v>
      </x:c>
      <x:c r="T97" s="162" t="str">
        <x:f t="shared" si="69"/>
        <x:v>X</x:v>
      </x:c>
      <x:c r="U97" s="220"/>
      <x:c r="V97" s="331"/>
      <x:c r="W97" s="221"/>
      <x:c r="X97" s="222"/>
      <x:c r="Y97" s="220"/>
      <x:c r="Z97" s="222"/>
      <x:c r="AA97" s="220"/>
      <x:c r="AC97" s="487">
        <x:f t="shared" si="70"/>
        <x:v>0</x:v>
      </x:c>
      <x:c r="AD97" s="487">
        <x:f t="shared" si="3"/>
        <x:v>0</x:v>
      </x:c>
      <x:c r="AE97" s="487">
        <x:f t="shared" si="4"/>
        <x:v>0</x:v>
      </x:c>
      <x:c r="AF97" s="374" t="str">
        <x:f t="shared" si="71"/>
        <x:v/>
      </x:c>
      <x:c r="AG97" s="165"/>
      <x:c r="AH97" s="487">
        <x:f t="shared" si="5"/>
        <x:v>0</x:v>
      </x:c>
      <x:c r="AI97" s="487">
        <x:f t="shared" si="6"/>
        <x:v>0</x:v>
      </x:c>
      <x:c r="AJ97" s="487">
        <x:f t="shared" si="7"/>
        <x:v>0</x:v>
      </x:c>
      <x:c r="AK97" s="374" t="str">
        <x:f t="shared" si="8"/>
        <x:v/>
      </x:c>
      <x:c r="AL97" s="8"/>
      <x:c r="AM97" s="533"/>
      <x:c r="AN97" s="374" t="str">
        <x:f>IF($AM97="","",IF($AM97="세입없음","OK",IF(COUNTIF('3. 일입'!$AN$8:$AN$2000,$AM97),"OK","@@")))</x:f>
        <x:v/>
      </x:c>
      <x:c r="AO97" s="356" t="str">
        <x:f t="shared" si="9"/>
        <x:v/>
      </x:c>
      <x:c r="AP97" s="374" t="str">
        <x:f t="shared" si="10"/>
        <x:v/>
      </x:c>
      <x:c r="AQ97" s="93"/>
      <x:c r="AR97" s="374" t="str">
        <x:f t="array" ref="AR97:AR97">IF(OR($D97="",$C97="직접입력",$B97="직접입력"),"",INDEX(구분표!$I$3:$I$321,MATCH(1,(구분표!$G$3:$G$321=$B97)*(구분표!$E$3:$E$321=$C97)*(구분표!$F$3:$F$321=$D97),0)))</x:f>
        <x:v/>
      </x:c>
      <x:c r="AS97" s="21"/>
    </x:row>
    <x:row r="98" spans="1:45" s="20" customFormat="1" ht="60" customHeight="1">
      <x:c r="A98" s="155" t="str">
        <x:f>IF(D98="","",COUNTA($C$7:C98)-COUNTBLANK($C$7:C98)+6)</x:f>
        <x:v/>
      </x:c>
      <x:c r="B98" s="156" t="str">
        <x: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x:f>
        <x:v/>
      </x:c>
      <x:c r="C98" s="156" t="str">
        <x:f>IF(D98="","",IF(OR(D98="교육지원과",D98="총무과",D98="인사과"),"직접입력",VLOOKUP(D98,구분표!$A$3:$C$258,3,)))</x:f>
        <x:v/>
      </x:c>
      <x:c r="D98" s="219"/>
      <x:c r="E98" s="213"/>
      <x:c r="F98" s="388" t="str">
        <x:f t="shared" si="72"/>
        <x:v/>
      </x:c>
      <x:c r="G98" s="388" t="str">
        <x:f t="shared" si="72"/>
        <x:v/>
      </x:c>
      <x:c r="H98" s="213"/>
      <x:c r="I98" s="156" t="str">
        <x:f>IF(H98="","",VLOOKUP($H98,구분표!$K$3:$M$151,2,FALSE))</x:f>
        <x:v/>
      </x:c>
      <x:c r="J98" s="156" t="str">
        <x:f>IF(I98="","",VLOOKUP($H98,구분표!$K$3:$M$151,3,FALSE))</x:f>
        <x:v/>
      </x:c>
      <x:c r="K98" s="233"/>
      <x:c r="L98" s="233"/>
      <x:c r="M98" s="459" t="str">
        <x:f t="shared" si="73"/>
        <x:v/>
      </x:c>
      <x:c r="N98" s="459" t="str">
        <x:f t="shared" si="74"/>
        <x:v/>
      </x:c>
      <x:c r="O98" s="461" t="str">
        <x:f t="shared" si="66"/>
        <x:v/>
      </x:c>
      <x:c r="P98" s="460"/>
      <x:c r="Q98" s="461">
        <x:f t="shared" si="67"/>
        <x:v>0</x:v>
      </x:c>
      <x:c r="R98" s="462"/>
      <x:c r="S98" s="463">
        <x:f t="shared" si="68"/>
        <x:v>0</x:v>
      </x:c>
      <x:c r="T98" s="162" t="str">
        <x:f t="shared" si="69"/>
        <x:v>X</x:v>
      </x:c>
      <x:c r="U98" s="220"/>
      <x:c r="V98" s="331"/>
      <x:c r="W98" s="221"/>
      <x:c r="X98" s="222"/>
      <x:c r="Y98" s="220"/>
      <x:c r="Z98" s="222"/>
      <x:c r="AA98" s="220"/>
      <x:c r="AC98" s="487">
        <x:f t="shared" si="70"/>
        <x:v>0</x:v>
      </x:c>
      <x:c r="AD98" s="487">
        <x:f t="shared" si="3"/>
        <x:v>0</x:v>
      </x:c>
      <x:c r="AE98" s="487">
        <x:f t="shared" si="4"/>
        <x:v>0</x:v>
      </x:c>
      <x:c r="AF98" s="374" t="str">
        <x:f t="shared" si="71"/>
        <x:v/>
      </x:c>
      <x:c r="AG98" s="165"/>
      <x:c r="AH98" s="487">
        <x:f t="shared" si="5"/>
        <x:v>0</x:v>
      </x:c>
      <x:c r="AI98" s="487">
        <x:f t="shared" si="6"/>
        <x:v>0</x:v>
      </x:c>
      <x:c r="AJ98" s="487">
        <x:f t="shared" si="7"/>
        <x:v>0</x:v>
      </x:c>
      <x:c r="AK98" s="374" t="str">
        <x:f t="shared" si="8"/>
        <x:v/>
      </x:c>
      <x:c r="AL98" s="8"/>
      <x:c r="AM98" s="533"/>
      <x:c r="AN98" s="374" t="str">
        <x:f>IF($AM98="","",IF($AM98="세입없음","OK",IF(COUNTIF('3. 일입'!$AN$8:$AN$2000,$AM98),"OK","@@")))</x:f>
        <x:v/>
      </x:c>
      <x:c r="AO98" s="356" t="str">
        <x:f t="shared" si="9"/>
        <x:v/>
      </x:c>
      <x:c r="AP98" s="374" t="str">
        <x:f t="shared" si="10"/>
        <x:v/>
      </x:c>
      <x:c r="AQ98" s="93"/>
      <x:c r="AR98" s="374" t="str">
        <x:f t="array" ref="AR98:AR98">IF(OR($D98="",$C98="직접입력",$B98="직접입력"),"",INDEX(구분표!$I$3:$I$321,MATCH(1,(구분표!$G$3:$G$321=$B98)*(구분표!$E$3:$E$321=$C98)*(구분표!$F$3:$F$321=$D98),0)))</x:f>
        <x:v/>
      </x:c>
      <x:c r="AS98" s="21"/>
    </x:row>
    <x:row r="99" spans="1:45" s="157" customFormat="1" ht="60" customHeight="1">
      <x:c r="A99" s="155" t="str">
        <x:f>IF(D99="","",COUNTA($C$7:C99)-COUNTBLANK($C$7:C99)+6)</x:f>
        <x:v/>
      </x:c>
      <x:c r="B99" s="156" t="str">
        <x: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x:f>
        <x:v/>
      </x:c>
      <x:c r="C99" s="156" t="str">
        <x:f>IF(D99="","",IF(OR(D99="교육지원과",D99="총무과",D99="인사과"),"직접입력",VLOOKUP(D99,구분표!$A$3:$C$258,3,)))</x:f>
        <x:v/>
      </x:c>
      <x:c r="D99" s="219"/>
      <x:c r="E99" s="213"/>
      <x:c r="F99" s="388" t="str">
        <x:f t="shared" si="72"/>
        <x:v/>
      </x:c>
      <x:c r="G99" s="388" t="str">
        <x:f t="shared" si="72"/>
        <x:v/>
      </x:c>
      <x:c r="H99" s="213"/>
      <x:c r="I99" s="156" t="str">
        <x:f>IF(H99="","",VLOOKUP($H99,구분표!$K$3:$M$151,2,FALSE))</x:f>
        <x:v/>
      </x:c>
      <x:c r="J99" s="156" t="str">
        <x:f>IF(I99="","",VLOOKUP($H99,구분표!$K$3:$M$151,3,FALSE))</x:f>
        <x:v/>
      </x:c>
      <x:c r="K99" s="233"/>
      <x:c r="L99" s="233"/>
      <x:c r="M99" s="459" t="str">
        <x:f t="shared" si="73"/>
        <x:v/>
      </x:c>
      <x:c r="N99" s="459" t="str">
        <x:f t="shared" si="74"/>
        <x:v/>
      </x:c>
      <x:c r="O99" s="461" t="str">
        <x:f t="shared" si="66"/>
        <x:v/>
      </x:c>
      <x:c r="P99" s="460"/>
      <x:c r="Q99" s="461">
        <x:f t="shared" si="67"/>
        <x:v>0</x:v>
      </x:c>
      <x:c r="R99" s="462"/>
      <x:c r="S99" s="463">
        <x:f t="shared" si="68"/>
        <x:v>0</x:v>
      </x:c>
      <x:c r="T99" s="162" t="str">
        <x:f t="shared" si="69"/>
        <x:v>X</x:v>
      </x:c>
      <x:c r="U99" s="220"/>
      <x:c r="V99" s="331"/>
      <x:c r="W99" s="221"/>
      <x:c r="X99" s="222"/>
      <x:c r="Y99" s="220"/>
      <x:c r="Z99" s="222"/>
      <x:c r="AA99" s="220"/>
      <x:c r="AB99" s="20"/>
      <x:c r="AC99" s="487">
        <x:f t="shared" si="70"/>
        <x:v>0</x:v>
      </x:c>
      <x:c r="AD99" s="487">
        <x:f t="shared" si="3"/>
        <x:v>0</x:v>
      </x:c>
      <x:c r="AE99" s="487">
        <x:f t="shared" si="4"/>
        <x:v>0</x:v>
      </x:c>
      <x:c r="AF99" s="374" t="str">
        <x:f t="shared" si="71"/>
        <x:v/>
      </x:c>
      <x:c r="AG99" s="165"/>
      <x:c r="AH99" s="487">
        <x:f t="shared" si="5"/>
        <x:v>0</x:v>
      </x:c>
      <x:c r="AI99" s="487">
        <x:f t="shared" si="6"/>
        <x:v>0</x:v>
      </x:c>
      <x:c r="AJ99" s="487">
        <x:f t="shared" si="7"/>
        <x:v>0</x:v>
      </x:c>
      <x:c r="AK99" s="374" t="str">
        <x:f t="shared" si="8"/>
        <x:v/>
      </x:c>
      <x:c r="AL99" s="8"/>
      <x:c r="AM99" s="533"/>
      <x:c r="AN99" s="374" t="str">
        <x:f>IF($AM99="","",IF($AM99="세입없음","OK",IF(COUNTIF('3. 일입'!$AN$8:$AN$2000,$AM99),"OK","@@")))</x:f>
        <x:v/>
      </x:c>
      <x:c r="AO99" s="356" t="str">
        <x:f t="shared" si="9"/>
        <x:v/>
      </x:c>
      <x:c r="AP99" s="374" t="str">
        <x:f t="shared" si="10"/>
        <x:v/>
      </x:c>
      <x:c r="AQ99" s="93"/>
      <x:c r="AR99" s="374" t="str">
        <x:f t="array" ref="AR99:AR99">IF(OR($D99="",$C99="직접입력",$B99="직접입력"),"",INDEX(구분표!$I$3:$I$321,MATCH(1,(구분표!$G$3:$G$321=$B99)*(구분표!$E$3:$E$321=$C99)*(구분표!$F$3:$F$321=$D99),0)))</x:f>
        <x:v/>
      </x:c>
      <x:c r="AS99" s="21"/>
    </x:row>
    <x:row r="100" spans="1:45" s="157" customFormat="1" ht="60" customHeight="1">
      <x:c r="A100" s="155" t="str">
        <x:f>IF(D100="","",COUNTA($C$7:C100)-COUNTBLANK($C$7:C100)+6)</x:f>
        <x:v/>
      </x:c>
      <x:c r="B100" s="156" t="str">
        <x: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x:f>
        <x:v/>
      </x:c>
      <x:c r="C100" s="156" t="str">
        <x:f>IF(D100="","",IF(OR(D100="교육지원과",D100="총무과",D100="인사과"),"직접입력",VLOOKUP(D100,구분표!$A$3:$C$258,3,)))</x:f>
        <x:v/>
      </x:c>
      <x:c r="D100" s="219"/>
      <x:c r="E100" s="213"/>
      <x:c r="F100" s="388" t="str">
        <x:f t="shared" si="72"/>
        <x:v/>
      </x:c>
      <x:c r="G100" s="388" t="str">
        <x:f t="shared" si="72"/>
        <x:v/>
      </x:c>
      <x:c r="H100" s="213"/>
      <x:c r="I100" s="156" t="str">
        <x:f>IF(H100="","",VLOOKUP($H100,구분표!$K$3:$M$151,2,FALSE))</x:f>
        <x:v/>
      </x:c>
      <x:c r="J100" s="156" t="str">
        <x:f>IF(I100="","",VLOOKUP($H100,구분표!$K$3:$M$151,3,FALSE))</x:f>
        <x:v/>
      </x:c>
      <x:c r="K100" s="233"/>
      <x:c r="L100" s="233"/>
      <x:c r="M100" s="459" t="str">
        <x:f t="shared" si="73"/>
        <x:v/>
      </x:c>
      <x:c r="N100" s="459" t="str">
        <x:f t="shared" si="74"/>
        <x:v/>
      </x:c>
      <x:c r="O100" s="461" t="str">
        <x:f t="shared" si="66"/>
        <x:v/>
      </x:c>
      <x:c r="P100" s="460"/>
      <x:c r="Q100" s="461">
        <x:f t="shared" si="67"/>
        <x:v>0</x:v>
      </x:c>
      <x:c r="R100" s="462"/>
      <x:c r="S100" s="463">
        <x:f t="shared" si="68"/>
        <x:v>0</x:v>
      </x:c>
      <x:c r="T100" s="162" t="str">
        <x:f t="shared" si="69"/>
        <x:v>X</x:v>
      </x:c>
      <x:c r="U100" s="220"/>
      <x:c r="V100" s="331"/>
      <x:c r="W100" s="221"/>
      <x:c r="X100" s="222"/>
      <x:c r="Y100" s="220"/>
      <x:c r="Z100" s="222"/>
      <x:c r="AA100" s="220"/>
      <x:c r="AB100" s="20"/>
      <x:c r="AC100" s="487">
        <x:f t="shared" si="70"/>
        <x:v>0</x:v>
      </x:c>
      <x:c r="AD100" s="487">
        <x:f t="shared" si="3"/>
        <x:v>0</x:v>
      </x:c>
      <x:c r="AE100" s="487">
        <x:f t="shared" si="4"/>
        <x:v>0</x:v>
      </x:c>
      <x:c r="AF100" s="374" t="str">
        <x:f t="shared" si="71"/>
        <x:v/>
      </x:c>
      <x:c r="AG100" s="165"/>
      <x:c r="AH100" s="487">
        <x:f t="shared" si="5"/>
        <x:v>0</x:v>
      </x:c>
      <x:c r="AI100" s="487">
        <x:f t="shared" si="6"/>
        <x:v>0</x:v>
      </x:c>
      <x:c r="AJ100" s="487">
        <x:f t="shared" si="7"/>
        <x:v>0</x:v>
      </x:c>
      <x:c r="AK100" s="374" t="str">
        <x:f t="shared" si="8"/>
        <x:v/>
      </x:c>
      <x:c r="AL100" s="8"/>
      <x:c r="AM100" s="533"/>
      <x:c r="AN100" s="374" t="str">
        <x:f>IF($AM100="","",IF($AM100="세입없음","OK",IF(COUNTIF('3. 일입'!$AN$8:$AN$2000,$AM100),"OK","@@")))</x:f>
        <x:v/>
      </x:c>
      <x:c r="AO100" s="356" t="str">
        <x:f t="shared" si="9"/>
        <x:v/>
      </x:c>
      <x:c r="AP100" s="374" t="str">
        <x:f t="shared" si="10"/>
        <x:v/>
      </x:c>
      <x:c r="AQ100" s="93"/>
      <x:c r="AR100" s="374" t="str">
        <x:f t="array" ref="AR100:AR100">IF(OR($D100="",$C100="직접입력",$B100="직접입력"),"",INDEX(구분표!$I$3:$I$321,MATCH(1,(구분표!$G$3:$G$321=$B100)*(구분표!$E$3:$E$321=$C100)*(구분표!$F$3:$F$321=$D100),0)))</x:f>
        <x:v/>
      </x:c>
      <x:c r="AS100" s="21"/>
    </x:row>
    <x:row r="101" spans="1:45" s="20" customFormat="1" ht="60" customHeight="1">
      <x:c r="A101" s="155" t="str">
        <x:f>IF(D101="","",COUNTA($C$7:C101)-COUNTBLANK($C$7:C101)+6)</x:f>
        <x:v/>
      </x:c>
      <x:c r="B101" s="156" t="str">
        <x: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x:f>
        <x:v/>
      </x:c>
      <x:c r="C101" s="156" t="str">
        <x:f>IF(D101="","",IF(OR(D101="교육지원과",D101="총무과",D101="인사과"),"직접입력",VLOOKUP(D101,구분표!$A$3:$C$258,3,)))</x:f>
        <x:v/>
      </x:c>
      <x:c r="D101" s="219"/>
      <x:c r="E101" s="213"/>
      <x:c r="F101" s="388" t="str">
        <x:f t="shared" si="72"/>
        <x:v/>
      </x:c>
      <x:c r="G101" s="388" t="str">
        <x:f t="shared" si="72"/>
        <x:v/>
      </x:c>
      <x:c r="H101" s="213"/>
      <x:c r="I101" s="156" t="str">
        <x:f>IF(H101="","",VLOOKUP($H101,구분표!$K$3:$M$151,2,FALSE))</x:f>
        <x:v/>
      </x:c>
      <x:c r="J101" s="156" t="str">
        <x:f>IF(I101="","",VLOOKUP($H101,구분표!$K$3:$M$151,3,FALSE))</x:f>
        <x:v/>
      </x:c>
      <x:c r="K101" s="233"/>
      <x:c r="L101" s="233"/>
      <x:c r="M101" s="459" t="str">
        <x:f t="shared" si="73"/>
        <x:v/>
      </x:c>
      <x:c r="N101" s="459" t="str">
        <x:f t="shared" si="74"/>
        <x:v/>
      </x:c>
      <x:c r="O101" s="461" t="str">
        <x:f t="shared" si="66"/>
        <x:v/>
      </x:c>
      <x:c r="P101" s="460"/>
      <x:c r="Q101" s="461">
        <x:f t="shared" si="67"/>
        <x:v>0</x:v>
      </x:c>
      <x:c r="R101" s="462"/>
      <x:c r="S101" s="463">
        <x:f t="shared" si="68"/>
        <x:v>0</x:v>
      </x:c>
      <x:c r="T101" s="162" t="str">
        <x:f t="shared" si="69"/>
        <x:v>X</x:v>
      </x:c>
      <x:c r="U101" s="220"/>
      <x:c r="V101" s="331"/>
      <x:c r="W101" s="221"/>
      <x:c r="X101" s="222"/>
      <x:c r="Y101" s="220"/>
      <x:c r="Z101" s="222"/>
      <x:c r="AA101" s="220"/>
      <x:c r="AC101" s="487">
        <x:f t="shared" si="70"/>
        <x:v>0</x:v>
      </x:c>
      <x:c r="AD101" s="487">
        <x:f t="shared" si="3"/>
        <x:v>0</x:v>
      </x:c>
      <x:c r="AE101" s="487">
        <x:f t="shared" si="4"/>
        <x:v>0</x:v>
      </x:c>
      <x:c r="AF101" s="374" t="str">
        <x:f t="shared" si="71"/>
        <x:v/>
      </x:c>
      <x:c r="AG101" s="165"/>
      <x:c r="AH101" s="487">
        <x:f t="shared" si="5"/>
        <x:v>0</x:v>
      </x:c>
      <x:c r="AI101" s="487">
        <x:f t="shared" si="6"/>
        <x:v>0</x:v>
      </x:c>
      <x:c r="AJ101" s="487">
        <x:f t="shared" si="7"/>
        <x:v>0</x:v>
      </x:c>
      <x:c r="AK101" s="374" t="str">
        <x:f t="shared" si="8"/>
        <x:v/>
      </x:c>
      <x:c r="AL101" s="8"/>
      <x:c r="AM101" s="533"/>
      <x:c r="AN101" s="374" t="str">
        <x:f>IF($AM101="","",IF($AM101="세입없음","OK",IF(COUNTIF('3. 일입'!$AN$8:$AN$2000,$AM101),"OK","@@")))</x:f>
        <x:v/>
      </x:c>
      <x:c r="AO101" s="356" t="str">
        <x:f t="shared" si="9"/>
        <x:v/>
      </x:c>
      <x:c r="AP101" s="374" t="str">
        <x:f t="shared" si="10"/>
        <x:v/>
      </x:c>
      <x:c r="AQ101" s="93"/>
      <x:c r="AR101" s="374" t="str">
        <x:f t="array" ref="AR101:AR101">IF(OR($D101="",$C101="직접입력",$B101="직접입력"),"",INDEX(구분표!$I$3:$I$321,MATCH(1,(구분표!$G$3:$G$321=$B101)*(구분표!$E$3:$E$321=$C101)*(구분표!$F$3:$F$321=$D101),0)))</x:f>
        <x:v/>
      </x:c>
      <x:c r="AS101" s="21"/>
    </x:row>
    <x:row r="102" spans="1:45" s="20" customFormat="1" ht="60" customHeight="1">
      <x:c r="A102" s="155" t="str">
        <x:f>IF(D102="","",COUNTA($C$7:C102)-COUNTBLANK($C$7:C102)+6)</x:f>
        <x:v/>
      </x:c>
      <x:c r="B102" s="156" t="str">
        <x: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x:f>
        <x:v/>
      </x:c>
      <x:c r="C102" s="156" t="str">
        <x:f>IF(D102="","",IF(OR(D102="교육지원과",D102="총무과",D102="인사과"),"직접입력",VLOOKUP(D102,구분표!$A$3:$C$258,3,)))</x:f>
        <x:v/>
      </x:c>
      <x:c r="D102" s="219"/>
      <x:c r="E102" s="213"/>
      <x:c r="F102" s="388" t="str">
        <x:f t="shared" si="72"/>
        <x:v/>
      </x:c>
      <x:c r="G102" s="388" t="str">
        <x:f t="shared" si="72"/>
        <x:v/>
      </x:c>
      <x:c r="H102" s="213"/>
      <x:c r="I102" s="156" t="str">
        <x:f>IF(H102="","",VLOOKUP($H102,구분표!$K$3:$M$151,2,FALSE))</x:f>
        <x:v/>
      </x:c>
      <x:c r="J102" s="156" t="str">
        <x:f>IF(I102="","",VLOOKUP($H102,구분표!$K$3:$M$151,3,FALSE))</x:f>
        <x:v/>
      </x:c>
      <x:c r="K102" s="233"/>
      <x:c r="L102" s="233"/>
      <x:c r="M102" s="459" t="str">
        <x:f t="shared" si="73"/>
        <x:v/>
      </x:c>
      <x:c r="N102" s="459" t="str">
        <x:f t="shared" si="74"/>
        <x:v/>
      </x:c>
      <x:c r="O102" s="461" t="str">
        <x:f t="shared" si="66"/>
        <x:v/>
      </x:c>
      <x:c r="P102" s="460"/>
      <x:c r="Q102" s="461">
        <x:f t="shared" si="67"/>
        <x:v>0</x:v>
      </x:c>
      <x:c r="R102" s="462"/>
      <x:c r="S102" s="463">
        <x:f t="shared" si="68"/>
        <x:v>0</x:v>
      </x:c>
      <x:c r="T102" s="162" t="str">
        <x:f t="shared" si="69"/>
        <x:v>X</x:v>
      </x:c>
      <x:c r="U102" s="220"/>
      <x:c r="V102" s="331"/>
      <x:c r="W102" s="221"/>
      <x:c r="X102" s="222"/>
      <x:c r="Y102" s="220"/>
      <x:c r="Z102" s="222"/>
      <x:c r="AA102" s="220"/>
      <x:c r="AC102" s="487">
        <x:f t="shared" si="70"/>
        <x:v>0</x:v>
      </x:c>
      <x:c r="AD102" s="487">
        <x:f t="shared" si="3"/>
        <x:v>0</x:v>
      </x:c>
      <x:c r="AE102" s="487">
        <x:f t="shared" si="4"/>
        <x:v>0</x:v>
      </x:c>
      <x:c r="AF102" s="374" t="str">
        <x:f t="shared" si="71"/>
        <x:v/>
      </x:c>
      <x:c r="AG102" s="165"/>
      <x:c r="AH102" s="487">
        <x:f t="shared" si="5"/>
        <x:v>0</x:v>
      </x:c>
      <x:c r="AI102" s="487">
        <x:f t="shared" si="6"/>
        <x:v>0</x:v>
      </x:c>
      <x:c r="AJ102" s="487">
        <x:f t="shared" si="7"/>
        <x:v>0</x:v>
      </x:c>
      <x:c r="AK102" s="374" t="str">
        <x:f t="shared" si="8"/>
        <x:v/>
      </x:c>
      <x:c r="AL102" s="8"/>
      <x:c r="AM102" s="533"/>
      <x:c r="AN102" s="374" t="str">
        <x:f>IF($AM102="","",IF($AM102="세입없음","OK",IF(COUNTIF('3. 일입'!$AN$8:$AN$2000,$AM102),"OK","@@")))</x:f>
        <x:v/>
      </x:c>
      <x:c r="AO102" s="356" t="str">
        <x:f t="shared" si="9"/>
        <x:v/>
      </x:c>
      <x:c r="AP102" s="374" t="str">
        <x:f t="shared" si="10"/>
        <x:v/>
      </x:c>
      <x:c r="AQ102" s="93"/>
      <x:c r="AR102" s="374" t="str">
        <x:f t="array" ref="AR102:AR102">IF(OR($D102="",$C102="직접입력",$B102="직접입력"),"",INDEX(구분표!$I$3:$I$321,MATCH(1,(구분표!$G$3:$G$321=$B102)*(구분표!$E$3:$E$321=$C102)*(구분표!$F$3:$F$321=$D102),0)))</x:f>
        <x:v/>
      </x:c>
      <x:c r="AS102" s="21"/>
    </x:row>
    <x:row r="103" spans="1:45" s="336" customFormat="1" ht="60" customHeight="1">
      <x:c r="A103" s="335"/>
      <x:c r="B103" s="979" t="s">
        <x:v>1520</x:v>
      </x:c>
      <x:c r="C103" s="979"/>
      <x:c r="D103" s="979"/>
      <x:c r="E103" s="979"/>
      <x:c r="F103" s="979"/>
      <x:c r="G103" s="979"/>
      <x:c r="H103" s="243"/>
      <x:c r="I103" s="358"/>
      <x:c r="J103" s="358"/>
      <x:c r="K103" s="418"/>
      <x:c r="L103" s="419" t="str">
        <x:f>SUBTOTAL(3,L104:L118)&amp;"건"</x:f>
        <x:v>0건</x:v>
      </x:c>
      <x:c r="M103" s="476">
        <x:f t="shared" ref="M103:N103" si="75">SUBTOTAL(9,M104:M118)</x:f>
        <x:v>0</x:v>
      </x:c>
      <x:c r="N103" s="476">
        <x:f t="shared" si="75"/>
        <x:v>0</x:v>
      </x:c>
      <x:c r="O103" s="476">
        <x:f t="shared" ref="O103:S103" si="76">SUBTOTAL(9,O104:O118)</x:f>
        <x:v>0</x:v>
      </x:c>
      <x:c r="P103" s="476">
        <x:f t="shared" si="76"/>
        <x:v>0</x:v>
      </x:c>
      <x:c r="Q103" s="476">
        <x:f t="shared" si="76"/>
        <x:v>0</x:v>
      </x:c>
      <x:c r="R103" s="476">
        <x:f t="shared" si="76"/>
        <x:v>0</x:v>
      </x:c>
      <x:c r="S103" s="476">
        <x:f t="shared" si="76"/>
        <x:v>0</x:v>
      </x:c>
      <x:c r="T103" s="416"/>
      <x:c r="U103" s="420"/>
      <x:c r="V103" s="420"/>
      <x:c r="W103" s="186"/>
      <x:c r="X103" s="186"/>
      <x:c r="Y103" s="186"/>
      <x:c r="Z103" s="187"/>
      <x:c r="AA103" s="186"/>
      <x:c r="AC103" s="481">
        <x:f>SUBTOTAL(9,AC104:AC118)</x:f>
        <x:v>0</x:v>
      </x:c>
      <x:c r="AD103" s="481">
        <x:f>SUBTOTAL(9,AD104:AD118)</x:f>
        <x:v>0</x:v>
      </x:c>
      <x:c r="AE103" s="481">
        <x:f>SUBTOTAL(9,AE104:AE118)</x:f>
        <x:v>0</x:v>
      </x:c>
      <x:c r="AF103" s="554" t="str">
        <x:f>IF(COUNTIF(AF104:AF118,"@@")&gt;0,"@@","OK")</x:f>
        <x:v>OK</x:v>
      </x:c>
      <x:c r="AG103" s="165"/>
      <x:c r="AH103" s="481">
        <x:f>SUBTOTAL(9,AH104:AH118)</x:f>
        <x:v>0</x:v>
      </x:c>
      <x:c r="AI103" s="481">
        <x:f>SUBTOTAL(9,AI104:AI118)</x:f>
        <x:v>0</x:v>
      </x:c>
      <x:c r="AJ103" s="481">
        <x:f>SUBTOTAL(9,AJ104:AJ118)</x:f>
        <x:v>0</x:v>
      </x:c>
      <x:c r="AK103" s="554" t="str">
        <x:f>IF(COUNTIF(AK104:AK118,"@@")&gt;0,"@@","OK")</x:f>
        <x:v>OK</x:v>
      </x:c>
      <x:c r="AL103" s="165"/>
      <x:c r="AM103" s="422"/>
      <x:c r="AN103" s="554" t="str">
        <x:f>IF(COUNTIF(AN104:AN118,"@@")&gt;0,"@@","OK")</x:f>
        <x:v>OK</x:v>
      </x:c>
      <x:c r="AO103" s="422"/>
      <x:c r="AP103" s="554" t="str">
        <x:f>IF(COUNTIF(AP104:AP118,"@@")&gt;0,"@@","OK")</x:f>
        <x:v>OK</x:v>
      </x:c>
      <x:c r="AQ103" s="164"/>
      <x:c r="AR103" s="422"/>
      <x:c r="AS103" s="21"/>
    </x:row>
    <x:row r="104" spans="1:45" s="20" customFormat="1" ht="60" customHeight="1">
      <x:c r="A104" s="155" t="str">
        <x:f>IF(D104="","",COUNTA($C$7:C104)-COUNTBLANK($C$7:C104)+7)</x:f>
        <x:v/>
      </x:c>
      <x:c r="B104" s="156" t="str">
        <x: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x:f>
        <x:v/>
      </x:c>
      <x:c r="C104" s="156" t="str">
        <x:f>IF(D104="","",IF(OR(D104="교육지원과",D104="총무과",D104="인사과"),"직접입력",VLOOKUP(D104,구분표!$A$3:$C$258,3,)))</x:f>
        <x:v/>
      </x:c>
      <x:c r="D104" s="219"/>
      <x:c r="E104" s="213"/>
      <x:c r="F104" s="388" t="str">
        <x:f>IF($E104="","",IF($E104="2추","직접입력","-"))</x:f>
        <x:v/>
      </x:c>
      <x:c r="G104" s="388" t="str">
        <x:f>IF($E104="","",IF($E104="2추","직접입력","-"))</x:f>
        <x:v/>
      </x:c>
      <x:c r="H104" s="213"/>
      <x:c r="I104" s="156" t="str">
        <x:f>IF(H104="","",VLOOKUP($H104,구분표!$K$3:$M$151,2,FALSE))</x:f>
        <x:v/>
      </x:c>
      <x:c r="J104" s="156" t="str">
        <x:f>IF(I104="","",VLOOKUP($H104,구분표!$K$3:$M$151,3,FALSE))</x:f>
        <x:v/>
      </x:c>
      <x:c r="K104" s="233"/>
      <x:c r="L104" s="233"/>
      <x:c r="M104" s="459" t="str">
        <x:f>IF($E104="","",IF(OR($E104="2추",$E104="1추",$E104="본예산"),"금액입력","-"))</x:f>
        <x:v/>
      </x:c>
      <x:c r="N104" s="459" t="str">
        <x:f>IF($E104="","",IF($E104="2추","금액입력","-"))</x:f>
        <x:v/>
      </x:c>
      <x:c r="O104" s="461" t="str">
        <x:f t="shared" ref="O104:O118" si="77">IF($E104="","",SUM(M104:N104))</x:f>
        <x:v/>
      </x:c>
      <x:c r="P104" s="460"/>
      <x:c r="Q104" s="461">
        <x:f t="shared" ref="Q104:Q118" si="78">SUM(O104:P104)</x:f>
        <x:v>0</x:v>
      </x:c>
      <x:c r="R104" s="462"/>
      <x:c r="S104" s="463">
        <x:f t="shared" ref="S104:S118" si="79">SUM(O104,R104)</x:f>
        <x:v>0</x:v>
      </x:c>
      <x:c r="T104" s="162" t="str">
        <x:f t="shared" ref="T104:T118" si="80">IF(AND((Q104=0),(S104&gt;0)),"O",IF(AND((P104&lt;0),(Q104-S104&lt;0)),"O","X"))</x:f>
        <x:v>X</x:v>
      </x:c>
      <x:c r="U104" s="220"/>
      <x:c r="V104" s="331"/>
      <x:c r="W104" s="221"/>
      <x:c r="X104" s="222"/>
      <x:c r="Y104" s="220"/>
      <x:c r="Z104" s="222"/>
      <x:c r="AA104" s="220"/>
      <x:c r="AC104" s="487">
        <x:f t="shared" ref="AC104:AC118" si="81">IF($P104="",0,IF(AND(ISNUMBER(AD104),ISNUMBER(AE104)),$P104-$AD104-$AE104,0))</x:f>
        <x:v>0</x:v>
      </x:c>
      <x:c r="AD104" s="487">
        <x:f t="shared" si="3"/>
        <x:v>0</x:v>
      </x:c>
      <x:c r="AE104" s="487">
        <x:f t="shared" si="4"/>
        <x:v>0</x:v>
      </x:c>
      <x:c r="AF104" s="374" t="str">
        <x:f t="shared" ref="AF104:AF118" si="82">IF($P104="",IF(SUM($AC104:$AE104)=0,"","@@"),IF(AND($P104=SUM($AC104:$AE104),Q104&gt;=0),"OK","@@"))</x:f>
        <x:v/>
      </x:c>
      <x:c r="AG104" s="165"/>
      <x:c r="AH104" s="487">
        <x:f t="shared" si="5"/>
        <x:v>0</x:v>
      </x:c>
      <x:c r="AI104" s="487">
        <x:f t="shared" si="6"/>
        <x:v>0</x:v>
      </x:c>
      <x:c r="AJ104" s="487">
        <x:f t="shared" si="7"/>
        <x:v>0</x:v>
      </x:c>
      <x:c r="AK104" s="374" t="str">
        <x:f t="shared" si="8"/>
        <x:v/>
      </x:c>
      <x:c r="AL104" s="8"/>
      <x:c r="AM104" s="533"/>
      <x:c r="AN104" s="374" t="str">
        <x:f>IF($AM104="","",IF($AM104="세입없음","OK",IF(COUNTIF('3. 일입'!$AN$8:$AN$2000,$AM104),"OK","@@")))</x:f>
        <x:v/>
      </x:c>
      <x:c r="AO104" s="356" t="str">
        <x:f t="shared" si="9"/>
        <x:v/>
      </x:c>
      <x:c r="AP104" s="374" t="str">
        <x:f t="shared" si="10"/>
        <x:v/>
      </x:c>
      <x:c r="AQ104" s="93"/>
      <x:c r="AR104" s="374" t="str">
        <x:f t="array" ref="AR104:AR104">IF(OR($D104="",$C104="직접입력",$B104="직접입력"),"",INDEX(구분표!$I$3:$I$321,MATCH(1,(구분표!$G$3:$G$321=$B104)*(구분표!$E$3:$E$321=$C104)*(구분표!$F$3:$F$321=$D104),0)))</x:f>
        <x:v/>
      </x:c>
      <x:c r="AS104" s="21"/>
    </x:row>
    <x:row r="105" spans="1:45" s="20" customFormat="1" ht="60" customHeight="1">
      <x:c r="A105" s="155" t="str">
        <x:f>IF(D105="","",COUNTA($C$7:C105)-COUNTBLANK($C$7:C105)+7)</x:f>
        <x:v/>
      </x:c>
      <x:c r="B105" s="156" t="str">
        <x: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x:f>
        <x:v/>
      </x:c>
      <x:c r="C105" s="156" t="str">
        <x:f>IF(D105="","",IF(OR(D105="교육지원과",D105="총무과",D105="인사과"),"직접입력",VLOOKUP(D105,구분표!$A$3:$C$258,3,)))</x:f>
        <x:v/>
      </x:c>
      <x:c r="D105" s="219"/>
      <x:c r="E105" s="213"/>
      <x:c r="F105" s="388" t="str">
        <x:f t="shared" ref="F105:G118" si="83">IF($E105="","",IF($E105="2추","직접입력","-"))</x:f>
        <x:v/>
      </x:c>
      <x:c r="G105" s="388" t="str">
        <x:f t="shared" si="83"/>
        <x:v/>
      </x:c>
      <x:c r="H105" s="213"/>
      <x:c r="I105" s="156" t="str">
        <x:f>IF(H105="","",VLOOKUP($H105,구분표!$K$3:$M$151,2,FALSE))</x:f>
        <x:v/>
      </x:c>
      <x:c r="J105" s="156" t="str">
        <x:f>IF(I105="","",VLOOKUP($H105,구분표!$K$3:$M$151,3,FALSE))</x:f>
        <x:v/>
      </x:c>
      <x:c r="K105" s="233"/>
      <x:c r="L105" s="233"/>
      <x:c r="M105" s="459" t="str">
        <x:f t="shared" ref="M105:M118" si="84">IF($E105="","",IF(OR($E105="2추",$E105="1추",$E105="본예산"),"금액입력","-"))</x:f>
        <x:v/>
      </x:c>
      <x:c r="N105" s="459" t="str">
        <x:f t="shared" ref="N105:N118" si="85">IF($E105="","",IF($E105="2추","금액입력","-"))</x:f>
        <x:v/>
      </x:c>
      <x:c r="O105" s="461" t="str">
        <x:f t="shared" si="77"/>
        <x:v/>
      </x:c>
      <x:c r="P105" s="460"/>
      <x:c r="Q105" s="461">
        <x:f t="shared" si="78"/>
        <x:v>0</x:v>
      </x:c>
      <x:c r="R105" s="462"/>
      <x:c r="S105" s="463">
        <x:f t="shared" si="79"/>
        <x:v>0</x:v>
      </x:c>
      <x:c r="T105" s="162" t="str">
        <x:f t="shared" si="80"/>
        <x:v>X</x:v>
      </x:c>
      <x:c r="U105" s="220"/>
      <x:c r="V105" s="331"/>
      <x:c r="W105" s="221"/>
      <x:c r="X105" s="222"/>
      <x:c r="Y105" s="220"/>
      <x:c r="Z105" s="222"/>
      <x:c r="AA105" s="220"/>
      <x:c r="AC105" s="487">
        <x:f t="shared" si="81"/>
        <x:v>0</x:v>
      </x:c>
      <x:c r="AD105" s="487">
        <x:f t="shared" si="3"/>
        <x:v>0</x:v>
      </x:c>
      <x:c r="AE105" s="487">
        <x:f t="shared" si="4"/>
        <x:v>0</x:v>
      </x:c>
      <x:c r="AF105" s="374" t="str">
        <x:f t="shared" si="82"/>
        <x:v/>
      </x:c>
      <x:c r="AG105" s="165"/>
      <x:c r="AH105" s="487">
        <x:f t="shared" si="5"/>
        <x:v>0</x:v>
      </x:c>
      <x:c r="AI105" s="487">
        <x:f t="shared" si="6"/>
        <x:v>0</x:v>
      </x:c>
      <x:c r="AJ105" s="487">
        <x:f t="shared" si="7"/>
        <x:v>0</x:v>
      </x:c>
      <x:c r="AK105" s="374" t="str">
        <x:f t="shared" si="8"/>
        <x:v/>
      </x:c>
      <x:c r="AL105" s="8"/>
      <x:c r="AM105" s="533"/>
      <x:c r="AN105" s="374" t="str">
        <x:f>IF($AM105="","",IF($AM105="세입없음","OK",IF(COUNTIF('3. 일입'!$AN$8:$AN$2000,$AM105),"OK","@@")))</x:f>
        <x:v/>
      </x:c>
      <x:c r="AO105" s="356" t="str">
        <x:f t="shared" si="9"/>
        <x:v/>
      </x:c>
      <x:c r="AP105" s="374" t="str">
        <x:f t="shared" si="10"/>
        <x:v/>
      </x:c>
      <x:c r="AQ105" s="93"/>
      <x:c r="AR105" s="374" t="str">
        <x:f t="array" ref="AR105:AR105">IF(OR($D105="",$C105="직접입력",$B105="직접입력"),"",INDEX(구분표!$I$3:$I$321,MATCH(1,(구분표!$G$3:$G$321=$B105)*(구분표!$E$3:$E$321=$C105)*(구분표!$F$3:$F$321=$D105),0)))</x:f>
        <x:v/>
      </x:c>
      <x:c r="AS105" s="21"/>
    </x:row>
    <x:row r="106" spans="1:45" s="20" customFormat="1" ht="60" customHeight="1">
      <x:c r="A106" s="155" t="str">
        <x:f>IF(D106="","",COUNTA($C$7:C106)-COUNTBLANK($C$7:C106)+7)</x:f>
        <x:v/>
      </x:c>
      <x:c r="B106" s="156" t="str">
        <x: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x:f>
        <x:v/>
      </x:c>
      <x:c r="C106" s="156" t="str">
        <x:f>IF(D106="","",IF(OR(D106="교육지원과",D106="총무과",D106="인사과"),"직접입력",VLOOKUP(D106,구분표!$A$3:$C$258,3,)))</x:f>
        <x:v/>
      </x:c>
      <x:c r="D106" s="219"/>
      <x:c r="E106" s="213"/>
      <x:c r="F106" s="388" t="str">
        <x:f t="shared" si="83"/>
        <x:v/>
      </x:c>
      <x:c r="G106" s="388" t="str">
        <x:f t="shared" si="83"/>
        <x:v/>
      </x:c>
      <x:c r="H106" s="213"/>
      <x:c r="I106" s="156" t="str">
        <x:f>IF(H106="","",VLOOKUP($H106,구분표!$K$3:$M$151,2,FALSE))</x:f>
        <x:v/>
      </x:c>
      <x:c r="J106" s="156" t="str">
        <x:f>IF(I106="","",VLOOKUP($H106,구분표!$K$3:$M$151,3,FALSE))</x:f>
        <x:v/>
      </x:c>
      <x:c r="K106" s="233"/>
      <x:c r="L106" s="233"/>
      <x:c r="M106" s="459" t="str">
        <x:f t="shared" si="84"/>
        <x:v/>
      </x:c>
      <x:c r="N106" s="459" t="str">
        <x:f t="shared" si="85"/>
        <x:v/>
      </x:c>
      <x:c r="O106" s="461" t="str">
        <x:f t="shared" si="77"/>
        <x:v/>
      </x:c>
      <x:c r="P106" s="460"/>
      <x:c r="Q106" s="461">
        <x:f t="shared" si="78"/>
        <x:v>0</x:v>
      </x:c>
      <x:c r="R106" s="462"/>
      <x:c r="S106" s="463">
        <x:f t="shared" si="79"/>
        <x:v>0</x:v>
      </x:c>
      <x:c r="T106" s="162" t="str">
        <x:f t="shared" si="80"/>
        <x:v>X</x:v>
      </x:c>
      <x:c r="U106" s="220"/>
      <x:c r="V106" s="331"/>
      <x:c r="W106" s="221"/>
      <x:c r="X106" s="222"/>
      <x:c r="Y106" s="220"/>
      <x:c r="Z106" s="222"/>
      <x:c r="AA106" s="220"/>
      <x:c r="AC106" s="487">
        <x:f t="shared" si="81"/>
        <x:v>0</x:v>
      </x:c>
      <x:c r="AD106" s="487">
        <x:f t="shared" si="3"/>
        <x:v>0</x:v>
      </x:c>
      <x:c r="AE106" s="487">
        <x:f t="shared" si="4"/>
        <x:v>0</x:v>
      </x:c>
      <x:c r="AF106" s="374" t="str">
        <x:f t="shared" si="82"/>
        <x:v/>
      </x:c>
      <x:c r="AG106" s="165"/>
      <x:c r="AH106" s="487">
        <x:f t="shared" si="5"/>
        <x:v>0</x:v>
      </x:c>
      <x:c r="AI106" s="487">
        <x:f t="shared" si="6"/>
        <x:v>0</x:v>
      </x:c>
      <x:c r="AJ106" s="487">
        <x:f t="shared" si="7"/>
        <x:v>0</x:v>
      </x:c>
      <x:c r="AK106" s="374" t="str">
        <x:f t="shared" si="8"/>
        <x:v/>
      </x:c>
      <x:c r="AL106" s="8"/>
      <x:c r="AM106" s="533"/>
      <x:c r="AN106" s="374" t="str">
        <x:f>IF($AM106="","",IF($AM106="세입없음","OK",IF(COUNTIF('3. 일입'!$AN$8:$AN$2000,$AM106),"OK","@@")))</x:f>
        <x:v/>
      </x:c>
      <x:c r="AO106" s="356" t="str">
        <x:f t="shared" si="9"/>
        <x:v/>
      </x:c>
      <x:c r="AP106" s="374" t="str">
        <x:f t="shared" si="10"/>
        <x:v/>
      </x:c>
      <x:c r="AQ106" s="93"/>
      <x:c r="AR106" s="374" t="str">
        <x:f t="array" ref="AR106:AR106">IF(OR($D106="",$C106="직접입력",$B106="직접입력"),"",INDEX(구분표!$I$3:$I$321,MATCH(1,(구분표!$G$3:$G$321=$B106)*(구분표!$E$3:$E$321=$C106)*(구분표!$F$3:$F$321=$D106),0)))</x:f>
        <x:v/>
      </x:c>
      <x:c r="AS106" s="21"/>
    </x:row>
    <x:row r="107" spans="1:45" s="20" customFormat="1" ht="60" customHeight="1">
      <x:c r="A107" s="155" t="str">
        <x:f>IF(D107="","",COUNTA($C$7:C107)-COUNTBLANK($C$7:C107)+7)</x:f>
        <x:v/>
      </x:c>
      <x:c r="B107" s="156" t="str">
        <x: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x:f>
        <x:v/>
      </x:c>
      <x:c r="C107" s="156" t="str">
        <x:f>IF(D107="","",IF(OR(D107="교육지원과",D107="총무과",D107="인사과"),"직접입력",VLOOKUP(D107,구분표!$A$3:$C$258,3,)))</x:f>
        <x:v/>
      </x:c>
      <x:c r="D107" s="219"/>
      <x:c r="E107" s="213"/>
      <x:c r="F107" s="388" t="str">
        <x:f t="shared" si="83"/>
        <x:v/>
      </x:c>
      <x:c r="G107" s="388" t="str">
        <x:f t="shared" si="83"/>
        <x:v/>
      </x:c>
      <x:c r="H107" s="213"/>
      <x:c r="I107" s="156" t="str">
        <x:f>IF(H107="","",VLOOKUP($H107,구분표!$K$3:$M$151,2,FALSE))</x:f>
        <x:v/>
      </x:c>
      <x:c r="J107" s="156" t="str">
        <x:f>IF(I107="","",VLOOKUP($H107,구분표!$K$3:$M$151,3,FALSE))</x:f>
        <x:v/>
      </x:c>
      <x:c r="K107" s="233"/>
      <x:c r="L107" s="233"/>
      <x:c r="M107" s="459" t="str">
        <x:f t="shared" si="84"/>
        <x:v/>
      </x:c>
      <x:c r="N107" s="459" t="str">
        <x:f t="shared" si="85"/>
        <x:v/>
      </x:c>
      <x:c r="O107" s="461" t="str">
        <x:f t="shared" si="77"/>
        <x:v/>
      </x:c>
      <x:c r="P107" s="460"/>
      <x:c r="Q107" s="461">
        <x:f t="shared" si="78"/>
        <x:v>0</x:v>
      </x:c>
      <x:c r="R107" s="462"/>
      <x:c r="S107" s="463">
        <x:f t="shared" si="79"/>
        <x:v>0</x:v>
      </x:c>
      <x:c r="T107" s="162" t="str">
        <x:f t="shared" si="80"/>
        <x:v>X</x:v>
      </x:c>
      <x:c r="U107" s="220"/>
      <x:c r="V107" s="331"/>
      <x:c r="W107" s="221"/>
      <x:c r="X107" s="222"/>
      <x:c r="Y107" s="220"/>
      <x:c r="Z107" s="222"/>
      <x:c r="AA107" s="220"/>
      <x:c r="AC107" s="487">
        <x:f t="shared" si="81"/>
        <x:v>0</x:v>
      </x:c>
      <x:c r="AD107" s="487">
        <x:f t="shared" si="3"/>
        <x:v>0</x:v>
      </x:c>
      <x:c r="AE107" s="487">
        <x:f t="shared" si="4"/>
        <x:v>0</x:v>
      </x:c>
      <x:c r="AF107" s="374" t="str">
        <x:f t="shared" si="82"/>
        <x:v/>
      </x:c>
      <x:c r="AG107" s="165"/>
      <x:c r="AH107" s="487">
        <x:f t="shared" si="5"/>
        <x:v>0</x:v>
      </x:c>
      <x:c r="AI107" s="487">
        <x:f t="shared" si="6"/>
        <x:v>0</x:v>
      </x:c>
      <x:c r="AJ107" s="487">
        <x:f t="shared" si="7"/>
        <x:v>0</x:v>
      </x:c>
      <x:c r="AK107" s="374" t="str">
        <x:f t="shared" si="8"/>
        <x:v/>
      </x:c>
      <x:c r="AL107" s="8"/>
      <x:c r="AM107" s="533"/>
      <x:c r="AN107" s="374" t="str">
        <x:f>IF($AM107="","",IF($AM107="세입없음","OK",IF(COUNTIF('3. 일입'!$AN$8:$AN$2000,$AM107),"OK","@@")))</x:f>
        <x:v/>
      </x:c>
      <x:c r="AO107" s="356" t="str">
        <x:f t="shared" si="9"/>
        <x:v/>
      </x:c>
      <x:c r="AP107" s="374" t="str">
        <x:f t="shared" si="10"/>
        <x:v/>
      </x:c>
      <x:c r="AQ107" s="93"/>
      <x:c r="AR107" s="374" t="str">
        <x:f t="array" ref="AR107:AR107">IF(OR($D107="",$C107="직접입력",$B107="직접입력"),"",INDEX(구분표!$I$3:$I$321,MATCH(1,(구분표!$G$3:$G$321=$B107)*(구분표!$E$3:$E$321=$C107)*(구분표!$F$3:$F$321=$D107),0)))</x:f>
        <x:v/>
      </x:c>
      <x:c r="AS107" s="21"/>
    </x:row>
    <x:row r="108" spans="1:45" s="157" customFormat="1" ht="60" customHeight="1">
      <x:c r="A108" s="155" t="str">
        <x:f>IF(D108="","",COUNTA($C$7:C108)-COUNTBLANK($C$7:C108)+7)</x:f>
        <x:v/>
      </x:c>
      <x:c r="B108" s="156" t="str">
        <x: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x:f>
        <x:v/>
      </x:c>
      <x:c r="C108" s="156" t="str">
        <x:f>IF(D108="","",IF(OR(D108="교육지원과",D108="총무과",D108="인사과"),"직접입력",VLOOKUP(D108,구분표!$A$3:$C$258,3,)))</x:f>
        <x:v/>
      </x:c>
      <x:c r="D108" s="219"/>
      <x:c r="E108" s="213"/>
      <x:c r="F108" s="388" t="str">
        <x:f t="shared" si="83"/>
        <x:v/>
      </x:c>
      <x:c r="G108" s="388" t="str">
        <x:f t="shared" si="83"/>
        <x:v/>
      </x:c>
      <x:c r="H108" s="213"/>
      <x:c r="I108" s="156" t="str">
        <x:f>IF(H108="","",VLOOKUP($H108,구분표!$K$3:$M$151,2,FALSE))</x:f>
        <x:v/>
      </x:c>
      <x:c r="J108" s="156" t="str">
        <x:f>IF(I108="","",VLOOKUP($H108,구분표!$K$3:$M$151,3,FALSE))</x:f>
        <x:v/>
      </x:c>
      <x:c r="K108" s="233"/>
      <x:c r="L108" s="233"/>
      <x:c r="M108" s="459" t="str">
        <x:f t="shared" si="84"/>
        <x:v/>
      </x:c>
      <x:c r="N108" s="459" t="str">
        <x:f t="shared" si="85"/>
        <x:v/>
      </x:c>
      <x:c r="O108" s="461" t="str">
        <x:f t="shared" si="77"/>
        <x:v/>
      </x:c>
      <x:c r="P108" s="460"/>
      <x:c r="Q108" s="461">
        <x:f t="shared" si="78"/>
        <x:v>0</x:v>
      </x:c>
      <x:c r="R108" s="462"/>
      <x:c r="S108" s="463">
        <x:f t="shared" si="79"/>
        <x:v>0</x:v>
      </x:c>
      <x:c r="T108" s="162" t="str">
        <x:f t="shared" si="80"/>
        <x:v>X</x:v>
      </x:c>
      <x:c r="U108" s="220"/>
      <x:c r="V108" s="331"/>
      <x:c r="W108" s="221"/>
      <x:c r="X108" s="222"/>
      <x:c r="Y108" s="220"/>
      <x:c r="Z108" s="222"/>
      <x:c r="AA108" s="220"/>
      <x:c r="AB108" s="20"/>
      <x:c r="AC108" s="487">
        <x:f t="shared" si="81"/>
        <x:v>0</x:v>
      </x:c>
      <x:c r="AD108" s="487">
        <x:f t="shared" si="3"/>
        <x:v>0</x:v>
      </x:c>
      <x:c r="AE108" s="487">
        <x:f t="shared" si="4"/>
        <x:v>0</x:v>
      </x:c>
      <x:c r="AF108" s="374" t="str">
        <x:f t="shared" si="82"/>
        <x:v/>
      </x:c>
      <x:c r="AG108" s="165"/>
      <x:c r="AH108" s="487">
        <x:f t="shared" si="5"/>
        <x:v>0</x:v>
      </x:c>
      <x:c r="AI108" s="487">
        <x:f t="shared" si="6"/>
        <x:v>0</x:v>
      </x:c>
      <x:c r="AJ108" s="487">
        <x:f t="shared" si="7"/>
        <x:v>0</x:v>
      </x:c>
      <x:c r="AK108" s="374" t="str">
        <x:f t="shared" si="8"/>
        <x:v/>
      </x:c>
      <x:c r="AL108" s="8"/>
      <x:c r="AM108" s="533"/>
      <x:c r="AN108" s="374" t="str">
        <x:f>IF($AM108="","",IF($AM108="세입없음","OK",IF(COUNTIF('3. 일입'!$AN$8:$AN$2000,$AM108),"OK","@@")))</x:f>
        <x:v/>
      </x:c>
      <x:c r="AO108" s="356" t="str">
        <x:f t="shared" si="9"/>
        <x:v/>
      </x:c>
      <x:c r="AP108" s="374" t="str">
        <x:f t="shared" si="10"/>
        <x:v/>
      </x:c>
      <x:c r="AQ108" s="93"/>
      <x:c r="AR108" s="374" t="str">
        <x:f t="array" ref="AR108:AR108">IF(OR($D108="",$C108="직접입력",$B108="직접입력"),"",INDEX(구분표!$I$3:$I$321,MATCH(1,(구분표!$G$3:$G$321=$B108)*(구분표!$E$3:$E$321=$C108)*(구분표!$F$3:$F$321=$D108),0)))</x:f>
        <x:v/>
      </x:c>
      <x:c r="AS108" s="21"/>
    </x:row>
    <x:row r="109" spans="1:45" s="20" customFormat="1" ht="60" customHeight="1">
      <x:c r="A109" s="155" t="str">
        <x:f>IF(D109="","",COUNTA($C$7:C109)-COUNTBLANK($C$7:C109)+7)</x:f>
        <x:v/>
      </x:c>
      <x:c r="B109" s="156" t="str">
        <x: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x:f>
        <x:v/>
      </x:c>
      <x:c r="C109" s="156" t="str">
        <x:f>IF(D109="","",IF(OR(D109="교육지원과",D109="총무과",D109="인사과"),"직접입력",VLOOKUP(D109,구분표!$A$3:$C$258,3,)))</x:f>
        <x:v/>
      </x:c>
      <x:c r="D109" s="219"/>
      <x:c r="E109" s="213"/>
      <x:c r="F109" s="388" t="str">
        <x:f t="shared" si="83"/>
        <x:v/>
      </x:c>
      <x:c r="G109" s="388" t="str">
        <x:f t="shared" si="83"/>
        <x:v/>
      </x:c>
      <x:c r="H109" s="213"/>
      <x:c r="I109" s="156" t="str">
        <x:f>IF(H109="","",VLOOKUP($H109,구분표!$K$3:$M$151,2,FALSE))</x:f>
        <x:v/>
      </x:c>
      <x:c r="J109" s="156" t="str">
        <x:f>IF(I109="","",VLOOKUP($H109,구분표!$K$3:$M$151,3,FALSE))</x:f>
        <x:v/>
      </x:c>
      <x:c r="K109" s="233"/>
      <x:c r="L109" s="233"/>
      <x:c r="M109" s="459" t="str">
        <x:f t="shared" si="84"/>
        <x:v/>
      </x:c>
      <x:c r="N109" s="459" t="str">
        <x:f t="shared" si="85"/>
        <x:v/>
      </x:c>
      <x:c r="O109" s="461" t="str">
        <x:f t="shared" si="77"/>
        <x:v/>
      </x:c>
      <x:c r="P109" s="460"/>
      <x:c r="Q109" s="461">
        <x:f t="shared" si="78"/>
        <x:v>0</x:v>
      </x:c>
      <x:c r="R109" s="462"/>
      <x:c r="S109" s="463">
        <x:f t="shared" si="79"/>
        <x:v>0</x:v>
      </x:c>
      <x:c r="T109" s="162" t="str">
        <x:f t="shared" si="80"/>
        <x:v>X</x:v>
      </x:c>
      <x:c r="U109" s="220"/>
      <x:c r="V109" s="331"/>
      <x:c r="W109" s="221"/>
      <x:c r="X109" s="222"/>
      <x:c r="Y109" s="220"/>
      <x:c r="Z109" s="222"/>
      <x:c r="AA109" s="220"/>
      <x:c r="AC109" s="487">
        <x:f t="shared" si="81"/>
        <x:v>0</x:v>
      </x:c>
      <x:c r="AD109" s="487">
        <x:f t="shared" si="3"/>
        <x:v>0</x:v>
      </x:c>
      <x:c r="AE109" s="487">
        <x:f t="shared" si="4"/>
        <x:v>0</x:v>
      </x:c>
      <x:c r="AF109" s="374" t="str">
        <x:f t="shared" si="82"/>
        <x:v/>
      </x:c>
      <x:c r="AG109" s="165"/>
      <x:c r="AH109" s="487">
        <x:f t="shared" si="5"/>
        <x:v>0</x:v>
      </x:c>
      <x:c r="AI109" s="487">
        <x:f t="shared" si="6"/>
        <x:v>0</x:v>
      </x:c>
      <x:c r="AJ109" s="487">
        <x:f t="shared" si="7"/>
        <x:v>0</x:v>
      </x:c>
      <x:c r="AK109" s="374" t="str">
        <x:f t="shared" si="8"/>
        <x:v/>
      </x:c>
      <x:c r="AL109" s="8"/>
      <x:c r="AM109" s="533"/>
      <x:c r="AN109" s="374" t="str">
        <x:f>IF($AM109="","",IF($AM109="세입없음","OK",IF(COUNTIF('3. 일입'!$AN$8:$AN$2000,$AM109),"OK","@@")))</x:f>
        <x:v/>
      </x:c>
      <x:c r="AO109" s="356" t="str">
        <x:f t="shared" si="9"/>
        <x:v/>
      </x:c>
      <x:c r="AP109" s="374" t="str">
        <x:f t="shared" si="10"/>
        <x:v/>
      </x:c>
      <x:c r="AQ109" s="93"/>
      <x:c r="AR109" s="374" t="str">
        <x:f t="array" ref="AR109:AR109">IF(OR($D109="",$C109="직접입력",$B109="직접입력"),"",INDEX(구분표!$I$3:$I$321,MATCH(1,(구분표!$G$3:$G$321=$B109)*(구분표!$E$3:$E$321=$C109)*(구분표!$F$3:$F$321=$D109),0)))</x:f>
        <x:v/>
      </x:c>
      <x:c r="AS109" s="21"/>
    </x:row>
    <x:row r="110" spans="1:45" s="20" customFormat="1" ht="60" customHeight="1">
      <x:c r="A110" s="155" t="str">
        <x:f>IF(D110="","",COUNTA($C$7:C110)-COUNTBLANK($C$7:C110)+7)</x:f>
        <x:v/>
      </x:c>
      <x:c r="B110" s="156" t="str">
        <x: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x:f>
        <x:v/>
      </x:c>
      <x:c r="C110" s="156" t="str">
        <x:f>IF(D110="","",IF(OR(D110="교육지원과",D110="총무과",D110="인사과"),"직접입력",VLOOKUP(D110,구분표!$A$3:$C$258,3,)))</x:f>
        <x:v/>
      </x:c>
      <x:c r="D110" s="219"/>
      <x:c r="E110" s="213"/>
      <x:c r="F110" s="388" t="str">
        <x:f t="shared" si="83"/>
        <x:v/>
      </x:c>
      <x:c r="G110" s="388" t="str">
        <x:f t="shared" si="83"/>
        <x:v/>
      </x:c>
      <x:c r="H110" s="213"/>
      <x:c r="I110" s="156" t="str">
        <x:f>IF(H110="","",VLOOKUP($H110,구분표!$K$3:$M$151,2,FALSE))</x:f>
        <x:v/>
      </x:c>
      <x:c r="J110" s="156" t="str">
        <x:f>IF(I110="","",VLOOKUP($H110,구분표!$K$3:$M$151,3,FALSE))</x:f>
        <x:v/>
      </x:c>
      <x:c r="K110" s="233"/>
      <x:c r="L110" s="233"/>
      <x:c r="M110" s="459" t="str">
        <x:f t="shared" si="84"/>
        <x:v/>
      </x:c>
      <x:c r="N110" s="459" t="str">
        <x:f t="shared" si="85"/>
        <x:v/>
      </x:c>
      <x:c r="O110" s="461" t="str">
        <x:f t="shared" si="77"/>
        <x:v/>
      </x:c>
      <x:c r="P110" s="460"/>
      <x:c r="Q110" s="461">
        <x:f t="shared" si="78"/>
        <x:v>0</x:v>
      </x:c>
      <x:c r="R110" s="462"/>
      <x:c r="S110" s="463">
        <x:f t="shared" si="79"/>
        <x:v>0</x:v>
      </x:c>
      <x:c r="T110" s="162" t="str">
        <x:f t="shared" si="80"/>
        <x:v>X</x:v>
      </x:c>
      <x:c r="U110" s="220"/>
      <x:c r="V110" s="331"/>
      <x:c r="W110" s="221"/>
      <x:c r="X110" s="222"/>
      <x:c r="Y110" s="220"/>
      <x:c r="Z110" s="222"/>
      <x:c r="AA110" s="220"/>
      <x:c r="AC110" s="487">
        <x:f t="shared" si="81"/>
        <x:v>0</x:v>
      </x:c>
      <x:c r="AD110" s="487">
        <x:f t="shared" si="3"/>
        <x:v>0</x:v>
      </x:c>
      <x:c r="AE110" s="487">
        <x:f t="shared" si="4"/>
        <x:v>0</x:v>
      </x:c>
      <x:c r="AF110" s="374" t="str">
        <x:f t="shared" si="82"/>
        <x:v/>
      </x:c>
      <x:c r="AG110" s="165"/>
      <x:c r="AH110" s="487">
        <x:f t="shared" si="5"/>
        <x:v>0</x:v>
      </x:c>
      <x:c r="AI110" s="487">
        <x:f t="shared" si="6"/>
        <x:v>0</x:v>
      </x:c>
      <x:c r="AJ110" s="487">
        <x:f t="shared" si="7"/>
        <x:v>0</x:v>
      </x:c>
      <x:c r="AK110" s="374" t="str">
        <x:f t="shared" si="8"/>
        <x:v/>
      </x:c>
      <x:c r="AL110" s="8"/>
      <x:c r="AM110" s="533"/>
      <x:c r="AN110" s="374" t="str">
        <x:f>IF($AM110="","",IF($AM110="세입없음","OK",IF(COUNTIF('3. 일입'!$AN$8:$AN$2000,$AM110),"OK","@@")))</x:f>
        <x:v/>
      </x:c>
      <x:c r="AO110" s="356" t="str">
        <x:f t="shared" si="9"/>
        <x:v/>
      </x:c>
      <x:c r="AP110" s="374" t="str">
        <x:f t="shared" si="10"/>
        <x:v/>
      </x:c>
      <x:c r="AQ110" s="93"/>
      <x:c r="AR110" s="374" t="str">
        <x:f t="array" ref="AR110:AR110">IF(OR($D110="",$C110="직접입력",$B110="직접입력"),"",INDEX(구분표!$I$3:$I$321,MATCH(1,(구분표!$G$3:$G$321=$B110)*(구분표!$E$3:$E$321=$C110)*(구분표!$F$3:$F$321=$D110),0)))</x:f>
        <x:v/>
      </x:c>
      <x:c r="AS110" s="21"/>
    </x:row>
    <x:row r="111" spans="1:45" s="20" customFormat="1" ht="60" customHeight="1">
      <x:c r="A111" s="155" t="str">
        <x:f>IF(D111="","",COUNTA($C$7:C111)-COUNTBLANK($C$7:C111)+7)</x:f>
        <x:v/>
      </x:c>
      <x:c r="B111" s="156" t="str">
        <x: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x:f>
        <x:v/>
      </x:c>
      <x:c r="C111" s="156" t="str">
        <x:f>IF(D111="","",IF(OR(D111="교육지원과",D111="총무과",D111="인사과"),"직접입력",VLOOKUP(D111,구분표!$A$3:$C$258,3,)))</x:f>
        <x:v/>
      </x:c>
      <x:c r="D111" s="219"/>
      <x:c r="E111" s="213"/>
      <x:c r="F111" s="388" t="str">
        <x:f t="shared" si="83"/>
        <x:v/>
      </x:c>
      <x:c r="G111" s="388" t="str">
        <x:f t="shared" si="83"/>
        <x:v/>
      </x:c>
      <x:c r="H111" s="213"/>
      <x:c r="I111" s="156" t="str">
        <x:f>IF(H111="","",VLOOKUP($H111,구분표!$K$3:$M$151,2,FALSE))</x:f>
        <x:v/>
      </x:c>
      <x:c r="J111" s="156" t="str">
        <x:f>IF(I111="","",VLOOKUP($H111,구분표!$K$3:$M$151,3,FALSE))</x:f>
        <x:v/>
      </x:c>
      <x:c r="K111" s="233"/>
      <x:c r="L111" s="233"/>
      <x:c r="M111" s="459" t="str">
        <x:f t="shared" si="84"/>
        <x:v/>
      </x:c>
      <x:c r="N111" s="459" t="str">
        <x:f t="shared" si="85"/>
        <x:v/>
      </x:c>
      <x:c r="O111" s="461" t="str">
        <x:f t="shared" si="77"/>
        <x:v/>
      </x:c>
      <x:c r="P111" s="460"/>
      <x:c r="Q111" s="461">
        <x:f t="shared" si="78"/>
        <x:v>0</x:v>
      </x:c>
      <x:c r="R111" s="462"/>
      <x:c r="S111" s="463">
        <x:f t="shared" si="79"/>
        <x:v>0</x:v>
      </x:c>
      <x:c r="T111" s="162" t="str">
        <x:f t="shared" si="80"/>
        <x:v>X</x:v>
      </x:c>
      <x:c r="U111" s="220"/>
      <x:c r="V111" s="331"/>
      <x:c r="W111" s="221"/>
      <x:c r="X111" s="222"/>
      <x:c r="Y111" s="220"/>
      <x:c r="Z111" s="222"/>
      <x:c r="AA111" s="220"/>
      <x:c r="AC111" s="487">
        <x:f t="shared" si="81"/>
        <x:v>0</x:v>
      </x:c>
      <x:c r="AD111" s="487">
        <x:f t="shared" si="3"/>
        <x:v>0</x:v>
      </x:c>
      <x:c r="AE111" s="487">
        <x:f t="shared" si="4"/>
        <x:v>0</x:v>
      </x:c>
      <x:c r="AF111" s="374" t="str">
        <x:f t="shared" si="82"/>
        <x:v/>
      </x:c>
      <x:c r="AG111" s="165"/>
      <x:c r="AH111" s="487">
        <x:f t="shared" si="5"/>
        <x:v>0</x:v>
      </x:c>
      <x:c r="AI111" s="487">
        <x:f t="shared" si="6"/>
        <x:v>0</x:v>
      </x:c>
      <x:c r="AJ111" s="487">
        <x:f t="shared" si="7"/>
        <x:v>0</x:v>
      </x:c>
      <x:c r="AK111" s="374" t="str">
        <x:f t="shared" si="8"/>
        <x:v/>
      </x:c>
      <x:c r="AL111" s="8"/>
      <x:c r="AM111" s="533"/>
      <x:c r="AN111" s="374" t="str">
        <x:f>IF($AM111="","",IF($AM111="세입없음","OK",IF(COUNTIF('3. 일입'!$AN$8:$AN$2000,$AM111),"OK","@@")))</x:f>
        <x:v/>
      </x:c>
      <x:c r="AO111" s="356" t="str">
        <x:f t="shared" si="9"/>
        <x:v/>
      </x:c>
      <x:c r="AP111" s="374" t="str">
        <x:f t="shared" si="10"/>
        <x:v/>
      </x:c>
      <x:c r="AQ111" s="93"/>
      <x:c r="AR111" s="374" t="str">
        <x:f t="array" ref="AR111:AR111">IF(OR($D111="",$C111="직접입력",$B111="직접입력"),"",INDEX(구분표!$I$3:$I$321,MATCH(1,(구분표!$G$3:$G$321=$B111)*(구분표!$E$3:$E$321=$C111)*(구분표!$F$3:$F$321=$D111),0)))</x:f>
        <x:v/>
      </x:c>
      <x:c r="AS111" s="21"/>
    </x:row>
    <x:row r="112" spans="1:45" s="20" customFormat="1" ht="60" customHeight="1">
      <x:c r="A112" s="155" t="str">
        <x:f>IF(D112="","",COUNTA($C$7:C112)-COUNTBLANK($C$7:C112)+7)</x:f>
        <x:v/>
      </x:c>
      <x:c r="B112" s="156" t="str">
        <x: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x:f>
        <x:v/>
      </x:c>
      <x:c r="C112" s="156" t="str">
        <x:f>IF(D112="","",IF(OR(D112="교육지원과",D112="총무과",D112="인사과"),"직접입력",VLOOKUP(D112,구분표!$A$3:$C$258,3,)))</x:f>
        <x:v/>
      </x:c>
      <x:c r="D112" s="219"/>
      <x:c r="E112" s="213"/>
      <x:c r="F112" s="388" t="str">
        <x:f t="shared" si="83"/>
        <x:v/>
      </x:c>
      <x:c r="G112" s="388" t="str">
        <x:f t="shared" si="83"/>
        <x:v/>
      </x:c>
      <x:c r="H112" s="213"/>
      <x:c r="I112" s="156" t="str">
        <x:f>IF(H112="","",VLOOKUP($H112,구분표!$K$3:$M$151,2,FALSE))</x:f>
        <x:v/>
      </x:c>
      <x:c r="J112" s="156" t="str">
        <x:f>IF(I112="","",VLOOKUP($H112,구분표!$K$3:$M$151,3,FALSE))</x:f>
        <x:v/>
      </x:c>
      <x:c r="K112" s="233"/>
      <x:c r="L112" s="233"/>
      <x:c r="M112" s="459" t="str">
        <x:f t="shared" si="84"/>
        <x:v/>
      </x:c>
      <x:c r="N112" s="459" t="str">
        <x:f t="shared" si="85"/>
        <x:v/>
      </x:c>
      <x:c r="O112" s="461" t="str">
        <x:f t="shared" si="77"/>
        <x:v/>
      </x:c>
      <x:c r="P112" s="460"/>
      <x:c r="Q112" s="461">
        <x:f t="shared" si="78"/>
        <x:v>0</x:v>
      </x:c>
      <x:c r="R112" s="462"/>
      <x:c r="S112" s="463">
        <x:f t="shared" si="79"/>
        <x:v>0</x:v>
      </x:c>
      <x:c r="T112" s="162" t="str">
        <x:f t="shared" si="80"/>
        <x:v>X</x:v>
      </x:c>
      <x:c r="U112" s="220"/>
      <x:c r="V112" s="331"/>
      <x:c r="W112" s="221"/>
      <x:c r="X112" s="222"/>
      <x:c r="Y112" s="220"/>
      <x:c r="Z112" s="222"/>
      <x:c r="AA112" s="220"/>
      <x:c r="AC112" s="487">
        <x:f t="shared" si="81"/>
        <x:v>0</x:v>
      </x:c>
      <x:c r="AD112" s="487">
        <x:f t="shared" si="3"/>
        <x:v>0</x:v>
      </x:c>
      <x:c r="AE112" s="487">
        <x:f t="shared" si="4"/>
        <x:v>0</x:v>
      </x:c>
      <x:c r="AF112" s="374" t="str">
        <x:f t="shared" si="82"/>
        <x:v/>
      </x:c>
      <x:c r="AG112" s="165"/>
      <x:c r="AH112" s="487">
        <x:f t="shared" si="5"/>
        <x:v>0</x:v>
      </x:c>
      <x:c r="AI112" s="487">
        <x:f t="shared" si="6"/>
        <x:v>0</x:v>
      </x:c>
      <x:c r="AJ112" s="487">
        <x:f t="shared" si="7"/>
        <x:v>0</x:v>
      </x:c>
      <x:c r="AK112" s="374" t="str">
        <x:f t="shared" si="8"/>
        <x:v/>
      </x:c>
      <x:c r="AL112" s="8"/>
      <x:c r="AM112" s="533"/>
      <x:c r="AN112" s="374" t="str">
        <x:f>IF($AM112="","",IF($AM112="세입없음","OK",IF(COUNTIF('3. 일입'!$AN$8:$AN$2000,$AM112),"OK","@@")))</x:f>
        <x:v/>
      </x:c>
      <x:c r="AO112" s="356" t="str">
        <x:f t="shared" si="9"/>
        <x:v/>
      </x:c>
      <x:c r="AP112" s="374" t="str">
        <x:f t="shared" si="10"/>
        <x:v/>
      </x:c>
      <x:c r="AQ112" s="93"/>
      <x:c r="AR112" s="374" t="str">
        <x:f t="array" ref="AR112:AR112">IF(OR($D112="",$C112="직접입력",$B112="직접입력"),"",INDEX(구분표!$I$3:$I$321,MATCH(1,(구분표!$G$3:$G$321=$B112)*(구분표!$E$3:$E$321=$C112)*(구분표!$F$3:$F$321=$D112),0)))</x:f>
        <x:v/>
      </x:c>
      <x:c r="AS112" s="21"/>
    </x:row>
    <x:row r="113" spans="1:45" s="157" customFormat="1" ht="60" customHeight="1">
      <x:c r="A113" s="155" t="str">
        <x:f>IF(D113="","",COUNTA($C$7:C113)-COUNTBLANK($C$7:C113)+7)</x:f>
        <x:v/>
      </x:c>
      <x:c r="B113" s="156" t="str">
        <x: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x:f>
        <x:v/>
      </x:c>
      <x:c r="C113" s="156" t="str">
        <x:f>IF(D113="","",IF(OR(D113="교육지원과",D113="총무과",D113="인사과"),"직접입력",VLOOKUP(D113,구분표!$A$3:$C$258,3,)))</x:f>
        <x:v/>
      </x:c>
      <x:c r="D113" s="219"/>
      <x:c r="E113" s="213"/>
      <x:c r="F113" s="388" t="str">
        <x:f t="shared" si="83"/>
        <x:v/>
      </x:c>
      <x:c r="G113" s="388" t="str">
        <x:f t="shared" si="83"/>
        <x:v/>
      </x:c>
      <x:c r="H113" s="213"/>
      <x:c r="I113" s="156" t="str">
        <x:f>IF(H113="","",VLOOKUP($H113,구분표!$K$3:$M$151,2,FALSE))</x:f>
        <x:v/>
      </x:c>
      <x:c r="J113" s="156" t="str">
        <x:f>IF(I113="","",VLOOKUP($H113,구분표!$K$3:$M$151,3,FALSE))</x:f>
        <x:v/>
      </x:c>
      <x:c r="K113" s="233"/>
      <x:c r="L113" s="233"/>
      <x:c r="M113" s="459" t="str">
        <x:f t="shared" si="84"/>
        <x:v/>
      </x:c>
      <x:c r="N113" s="459" t="str">
        <x:f t="shared" si="85"/>
        <x:v/>
      </x:c>
      <x:c r="O113" s="461" t="str">
        <x:f t="shared" si="77"/>
        <x:v/>
      </x:c>
      <x:c r="P113" s="460"/>
      <x:c r="Q113" s="461">
        <x:f t="shared" si="78"/>
        <x:v>0</x:v>
      </x:c>
      <x:c r="R113" s="462"/>
      <x:c r="S113" s="463">
        <x:f t="shared" si="79"/>
        <x:v>0</x:v>
      </x:c>
      <x:c r="T113" s="162" t="str">
        <x:f t="shared" si="80"/>
        <x:v>X</x:v>
      </x:c>
      <x:c r="U113" s="220"/>
      <x:c r="V113" s="331"/>
      <x:c r="W113" s="221"/>
      <x:c r="X113" s="222"/>
      <x:c r="Y113" s="220"/>
      <x:c r="Z113" s="222"/>
      <x:c r="AA113" s="220"/>
      <x:c r="AB113" s="20"/>
      <x:c r="AC113" s="487">
        <x:f t="shared" si="81"/>
        <x:v>0</x:v>
      </x:c>
      <x:c r="AD113" s="487">
        <x:f t="shared" si="3"/>
        <x:v>0</x:v>
      </x:c>
      <x:c r="AE113" s="487">
        <x:f t="shared" si="4"/>
        <x:v>0</x:v>
      </x:c>
      <x:c r="AF113" s="374" t="str">
        <x:f t="shared" si="82"/>
        <x:v/>
      </x:c>
      <x:c r="AG113" s="165"/>
      <x:c r="AH113" s="487">
        <x:f t="shared" si="5"/>
        <x:v>0</x:v>
      </x:c>
      <x:c r="AI113" s="487">
        <x:f t="shared" si="6"/>
        <x:v>0</x:v>
      </x:c>
      <x:c r="AJ113" s="487">
        <x:f t="shared" si="7"/>
        <x:v>0</x:v>
      </x:c>
      <x:c r="AK113" s="374" t="str">
        <x:f t="shared" si="8"/>
        <x:v/>
      </x:c>
      <x:c r="AL113" s="8"/>
      <x:c r="AM113" s="533"/>
      <x:c r="AN113" s="374" t="str">
        <x:f>IF($AM113="","",IF($AM113="세입없음","OK",IF(COUNTIF('3. 일입'!$AN$8:$AN$2000,$AM113),"OK","@@")))</x:f>
        <x:v/>
      </x:c>
      <x:c r="AO113" s="356" t="str">
        <x:f t="shared" si="9"/>
        <x:v/>
      </x:c>
      <x:c r="AP113" s="374" t="str">
        <x:f t="shared" si="10"/>
        <x:v/>
      </x:c>
      <x:c r="AQ113" s="93"/>
      <x:c r="AR113" s="374" t="str">
        <x:f t="array" ref="AR113:AR113">IF(OR($D113="",$C113="직접입력",$B113="직접입력"),"",INDEX(구분표!$I$3:$I$321,MATCH(1,(구분표!$G$3:$G$321=$B113)*(구분표!$E$3:$E$321=$C113)*(구분표!$F$3:$F$321=$D113),0)))</x:f>
        <x:v/>
      </x:c>
      <x:c r="AS113" s="21"/>
    </x:row>
    <x:row r="114" spans="1:45" s="20" customFormat="1" ht="60" customHeight="1">
      <x:c r="A114" s="155" t="str">
        <x:f>IF(D114="","",COUNTA($C$7:C114)-COUNTBLANK($C$7:C114)+7)</x:f>
        <x:v/>
      </x:c>
      <x:c r="B114" s="156" t="str">
        <x: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x:f>
        <x:v/>
      </x:c>
      <x:c r="C114" s="156" t="str">
        <x:f>IF(D114="","",IF(OR(D114="교육지원과",D114="총무과",D114="인사과"),"직접입력",VLOOKUP(D114,구분표!$A$3:$C$258,3,)))</x:f>
        <x:v/>
      </x:c>
      <x:c r="D114" s="219"/>
      <x:c r="E114" s="213"/>
      <x:c r="F114" s="388" t="str">
        <x:f t="shared" si="83"/>
        <x:v/>
      </x:c>
      <x:c r="G114" s="388" t="str">
        <x:f t="shared" si="83"/>
        <x:v/>
      </x:c>
      <x:c r="H114" s="213"/>
      <x:c r="I114" s="156" t="str">
        <x:f>IF(H114="","",VLOOKUP($H114,구분표!$K$3:$M$151,2,FALSE))</x:f>
        <x:v/>
      </x:c>
      <x:c r="J114" s="156" t="str">
        <x:f>IF(I114="","",VLOOKUP($H114,구분표!$K$3:$M$151,3,FALSE))</x:f>
        <x:v/>
      </x:c>
      <x:c r="K114" s="233"/>
      <x:c r="L114" s="233"/>
      <x:c r="M114" s="459" t="str">
        <x:f t="shared" si="84"/>
        <x:v/>
      </x:c>
      <x:c r="N114" s="459" t="str">
        <x:f t="shared" si="85"/>
        <x:v/>
      </x:c>
      <x:c r="O114" s="461" t="str">
        <x:f t="shared" si="77"/>
        <x:v/>
      </x:c>
      <x:c r="P114" s="460"/>
      <x:c r="Q114" s="461">
        <x:f t="shared" si="78"/>
        <x:v>0</x:v>
      </x:c>
      <x:c r="R114" s="462"/>
      <x:c r="S114" s="463">
        <x:f t="shared" si="79"/>
        <x:v>0</x:v>
      </x:c>
      <x:c r="T114" s="162" t="str">
        <x:f t="shared" si="80"/>
        <x:v>X</x:v>
      </x:c>
      <x:c r="U114" s="220"/>
      <x:c r="V114" s="331"/>
      <x:c r="W114" s="221"/>
      <x:c r="X114" s="222"/>
      <x:c r="Y114" s="220"/>
      <x:c r="Z114" s="222"/>
      <x:c r="AA114" s="220"/>
      <x:c r="AC114" s="487">
        <x:f t="shared" si="81"/>
        <x:v>0</x:v>
      </x:c>
      <x:c r="AD114" s="487">
        <x:f t="shared" si="3"/>
        <x:v>0</x:v>
      </x:c>
      <x:c r="AE114" s="487">
        <x:f t="shared" si="4"/>
        <x:v>0</x:v>
      </x:c>
      <x:c r="AF114" s="374" t="str">
        <x:f t="shared" si="82"/>
        <x:v/>
      </x:c>
      <x:c r="AG114" s="165"/>
      <x:c r="AH114" s="487">
        <x:f t="shared" si="5"/>
        <x:v>0</x:v>
      </x:c>
      <x:c r="AI114" s="487">
        <x:f t="shared" si="6"/>
        <x:v>0</x:v>
      </x:c>
      <x:c r="AJ114" s="487">
        <x:f t="shared" si="7"/>
        <x:v>0</x:v>
      </x:c>
      <x:c r="AK114" s="374" t="str">
        <x:f t="shared" si="8"/>
        <x:v/>
      </x:c>
      <x:c r="AL114" s="8"/>
      <x:c r="AM114" s="533"/>
      <x:c r="AN114" s="374" t="str">
        <x:f>IF($AM114="","",IF($AM114="세입없음","OK",IF(COUNTIF('3. 일입'!$AN$8:$AN$2000,$AM114),"OK","@@")))</x:f>
        <x:v/>
      </x:c>
      <x:c r="AO114" s="356" t="str">
        <x:f t="shared" si="9"/>
        <x:v/>
      </x:c>
      <x:c r="AP114" s="374" t="str">
        <x:f t="shared" si="10"/>
        <x:v/>
      </x:c>
      <x:c r="AQ114" s="93"/>
      <x:c r="AR114" s="374" t="str">
        <x:f t="array" ref="AR114:AR114">IF(OR($D114="",$C114="직접입력",$B114="직접입력"),"",INDEX(구분표!$I$3:$I$321,MATCH(1,(구분표!$G$3:$G$321=$B114)*(구분표!$E$3:$E$321=$C114)*(구분표!$F$3:$F$321=$D114),0)))</x:f>
        <x:v/>
      </x:c>
      <x:c r="AS114" s="21"/>
    </x:row>
    <x:row r="115" spans="1:45" s="157" customFormat="1" ht="60" customHeight="1">
      <x:c r="A115" s="155" t="str">
        <x:f>IF(D115="","",COUNTA($C$7:C115)-COUNTBLANK($C$7:C115)+7)</x:f>
        <x:v/>
      </x:c>
      <x:c r="B115" s="156" t="str">
        <x: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x:f>
        <x:v/>
      </x:c>
      <x:c r="C115" s="156" t="str">
        <x:f>IF(D115="","",IF(OR(D115="교육지원과",D115="총무과",D115="인사과"),"직접입력",VLOOKUP(D115,구분표!$A$3:$C$258,3,)))</x:f>
        <x:v/>
      </x:c>
      <x:c r="D115" s="219"/>
      <x:c r="E115" s="213"/>
      <x:c r="F115" s="388" t="str">
        <x:f t="shared" si="83"/>
        <x:v/>
      </x:c>
      <x:c r="G115" s="388" t="str">
        <x:f t="shared" si="83"/>
        <x:v/>
      </x:c>
      <x:c r="H115" s="213"/>
      <x:c r="I115" s="156" t="str">
        <x:f>IF(H115="","",VLOOKUP($H115,구분표!$K$3:$M$151,2,FALSE))</x:f>
        <x:v/>
      </x:c>
      <x:c r="J115" s="156" t="str">
        <x:f>IF(I115="","",VLOOKUP($H115,구분표!$K$3:$M$151,3,FALSE))</x:f>
        <x:v/>
      </x:c>
      <x:c r="K115" s="233"/>
      <x:c r="L115" s="233"/>
      <x:c r="M115" s="459" t="str">
        <x:f t="shared" si="84"/>
        <x:v/>
      </x:c>
      <x:c r="N115" s="459" t="str">
        <x:f t="shared" si="85"/>
        <x:v/>
      </x:c>
      <x:c r="O115" s="461" t="str">
        <x:f t="shared" si="77"/>
        <x:v/>
      </x:c>
      <x:c r="P115" s="460"/>
      <x:c r="Q115" s="461">
        <x:f t="shared" si="78"/>
        <x:v>0</x:v>
      </x:c>
      <x:c r="R115" s="462"/>
      <x:c r="S115" s="463">
        <x:f t="shared" si="79"/>
        <x:v>0</x:v>
      </x:c>
      <x:c r="T115" s="162" t="str">
        <x:f t="shared" si="80"/>
        <x:v>X</x:v>
      </x:c>
      <x:c r="U115" s="220"/>
      <x:c r="V115" s="331"/>
      <x:c r="W115" s="221"/>
      <x:c r="X115" s="222"/>
      <x:c r="Y115" s="220"/>
      <x:c r="Z115" s="222"/>
      <x:c r="AA115" s="220"/>
      <x:c r="AB115" s="20"/>
      <x:c r="AC115" s="487">
        <x:f t="shared" si="81"/>
        <x:v>0</x:v>
      </x:c>
      <x:c r="AD115" s="487">
        <x:f t="shared" si="3"/>
        <x:v>0</x:v>
      </x:c>
      <x:c r="AE115" s="487">
        <x:f t="shared" si="4"/>
        <x:v>0</x:v>
      </x:c>
      <x:c r="AF115" s="374" t="str">
        <x:f t="shared" si="82"/>
        <x:v/>
      </x:c>
      <x:c r="AG115" s="165"/>
      <x:c r="AH115" s="487">
        <x:f t="shared" si="5"/>
        <x:v>0</x:v>
      </x:c>
      <x:c r="AI115" s="487">
        <x:f t="shared" si="6"/>
        <x:v>0</x:v>
      </x:c>
      <x:c r="AJ115" s="487">
        <x:f t="shared" si="7"/>
        <x:v>0</x:v>
      </x:c>
      <x:c r="AK115" s="374" t="str">
        <x:f t="shared" si="8"/>
        <x:v/>
      </x:c>
      <x:c r="AL115" s="8"/>
      <x:c r="AM115" s="533"/>
      <x:c r="AN115" s="374" t="str">
        <x:f>IF($AM115="","",IF($AM115="세입없음","OK",IF(COUNTIF('3. 일입'!$AN$8:$AN$2000,$AM115),"OK","@@")))</x:f>
        <x:v/>
      </x:c>
      <x:c r="AO115" s="356" t="str">
        <x:f t="shared" si="9"/>
        <x:v/>
      </x:c>
      <x:c r="AP115" s="374" t="str">
        <x:f t="shared" si="10"/>
        <x:v/>
      </x:c>
      <x:c r="AQ115" s="93"/>
      <x:c r="AR115" s="374" t="str">
        <x:f t="array" ref="AR115:AR115">IF(OR($D115="",$C115="직접입력",$B115="직접입력"),"",INDEX(구분표!$I$3:$I$321,MATCH(1,(구분표!$G$3:$G$321=$B115)*(구분표!$E$3:$E$321=$C115)*(구분표!$F$3:$F$321=$D115),0)))</x:f>
        <x:v/>
      </x:c>
      <x:c r="AS115" s="21"/>
    </x:row>
    <x:row r="116" spans="1:45" s="20" customFormat="1" ht="60" customHeight="1">
      <x:c r="A116" s="155" t="str">
        <x:f>IF(D116="","",COUNTA($C$7:C116)-COUNTBLANK($C$7:C116)+7)</x:f>
        <x:v/>
      </x:c>
      <x:c r="B116" s="156" t="str">
        <x: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x:f>
        <x:v/>
      </x:c>
      <x:c r="C116" s="156" t="str">
        <x:f>IF(D116="","",IF(OR(D116="교육지원과",D116="총무과",D116="인사과"),"직접입력",VLOOKUP(D116,구분표!$A$3:$C$258,3,)))</x:f>
        <x:v/>
      </x:c>
      <x:c r="D116" s="219"/>
      <x:c r="E116" s="213"/>
      <x:c r="F116" s="388" t="str">
        <x:f t="shared" si="83"/>
        <x:v/>
      </x:c>
      <x:c r="G116" s="388" t="str">
        <x:f t="shared" si="83"/>
        <x:v/>
      </x:c>
      <x:c r="H116" s="213"/>
      <x:c r="I116" s="156" t="str">
        <x:f>IF(H116="","",VLOOKUP($H116,구분표!$K$3:$M$151,2,FALSE))</x:f>
        <x:v/>
      </x:c>
      <x:c r="J116" s="156" t="str">
        <x:f>IF(I116="","",VLOOKUP($H116,구분표!$K$3:$M$151,3,FALSE))</x:f>
        <x:v/>
      </x:c>
      <x:c r="K116" s="233"/>
      <x:c r="L116" s="233"/>
      <x:c r="M116" s="459" t="str">
        <x:f t="shared" si="84"/>
        <x:v/>
      </x:c>
      <x:c r="N116" s="459" t="str">
        <x:f t="shared" si="85"/>
        <x:v/>
      </x:c>
      <x:c r="O116" s="461" t="str">
        <x:f t="shared" si="77"/>
        <x:v/>
      </x:c>
      <x:c r="P116" s="460"/>
      <x:c r="Q116" s="461">
        <x:f t="shared" si="78"/>
        <x:v>0</x:v>
      </x:c>
      <x:c r="R116" s="462"/>
      <x:c r="S116" s="463">
        <x:f t="shared" si="79"/>
        <x:v>0</x:v>
      </x:c>
      <x:c r="T116" s="162" t="str">
        <x:f t="shared" si="80"/>
        <x:v>X</x:v>
      </x:c>
      <x:c r="U116" s="220"/>
      <x:c r="V116" s="331"/>
      <x:c r="W116" s="221"/>
      <x:c r="X116" s="222"/>
      <x:c r="Y116" s="220"/>
      <x:c r="Z116" s="222"/>
      <x:c r="AA116" s="220"/>
      <x:c r="AC116" s="487">
        <x:f t="shared" si="81"/>
        <x:v>0</x:v>
      </x:c>
      <x:c r="AD116" s="487">
        <x:f t="shared" si="3"/>
        <x:v>0</x:v>
      </x:c>
      <x:c r="AE116" s="487">
        <x:f t="shared" si="4"/>
        <x:v>0</x:v>
      </x:c>
      <x:c r="AF116" s="374" t="str">
        <x:f t="shared" si="82"/>
        <x:v/>
      </x:c>
      <x:c r="AG116" s="165"/>
      <x:c r="AH116" s="487">
        <x:f t="shared" si="5"/>
        <x:v>0</x:v>
      </x:c>
      <x:c r="AI116" s="487">
        <x:f t="shared" si="6"/>
        <x:v>0</x:v>
      </x:c>
      <x:c r="AJ116" s="487">
        <x:f t="shared" si="7"/>
        <x:v>0</x:v>
      </x:c>
      <x:c r="AK116" s="374" t="str">
        <x:f t="shared" si="8"/>
        <x:v/>
      </x:c>
      <x:c r="AL116" s="8"/>
      <x:c r="AM116" s="533"/>
      <x:c r="AN116" s="374" t="str">
        <x:f>IF($AM116="","",IF($AM116="세입없음","OK",IF(COUNTIF('3. 일입'!$AN$8:$AN$2000,$AM116),"OK","@@")))</x:f>
        <x:v/>
      </x:c>
      <x:c r="AO116" s="356" t="str">
        <x:f t="shared" si="9"/>
        <x:v/>
      </x:c>
      <x:c r="AP116" s="374" t="str">
        <x:f t="shared" si="10"/>
        <x:v/>
      </x:c>
      <x:c r="AQ116" s="93"/>
      <x:c r="AR116" s="374" t="str">
        <x:f t="array" ref="AR116:AR116">IF(OR($D116="",$C116="직접입력",$B116="직접입력"),"",INDEX(구분표!$I$3:$I$321,MATCH(1,(구분표!$G$3:$G$321=$B116)*(구분표!$E$3:$E$321=$C116)*(구분표!$F$3:$F$321=$D116),0)))</x:f>
        <x:v/>
      </x:c>
      <x:c r="AS116" s="21"/>
    </x:row>
    <x:row r="117" spans="1:45" s="20" customFormat="1" ht="60" customHeight="1">
      <x:c r="A117" s="155" t="str">
        <x:f>IF(D117="","",COUNTA($C$7:C117)-COUNTBLANK($C$7:C117)+7)</x:f>
        <x:v/>
      </x:c>
      <x:c r="B117" s="156" t="str">
        <x: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x:f>
        <x:v/>
      </x:c>
      <x:c r="C117" s="156" t="str">
        <x:f>IF(D117="","",IF(OR(D117="교육지원과",D117="총무과",D117="인사과"),"직접입력",VLOOKUP(D117,구분표!$A$3:$C$258,3,)))</x:f>
        <x:v/>
      </x:c>
      <x:c r="D117" s="219"/>
      <x:c r="E117" s="213"/>
      <x:c r="F117" s="388" t="str">
        <x:f t="shared" si="83"/>
        <x:v/>
      </x:c>
      <x:c r="G117" s="388" t="str">
        <x:f t="shared" si="83"/>
        <x:v/>
      </x:c>
      <x:c r="H117" s="213"/>
      <x:c r="I117" s="156" t="str">
        <x:f>IF(H117="","",VLOOKUP($H117,구분표!$K$3:$M$151,2,FALSE))</x:f>
        <x:v/>
      </x:c>
      <x:c r="J117" s="156" t="str">
        <x:f>IF(I117="","",VLOOKUP($H117,구분표!$K$3:$M$151,3,FALSE))</x:f>
        <x:v/>
      </x:c>
      <x:c r="K117" s="233"/>
      <x:c r="L117" s="233"/>
      <x:c r="M117" s="459" t="str">
        <x:f t="shared" si="84"/>
        <x:v/>
      </x:c>
      <x:c r="N117" s="459" t="str">
        <x:f t="shared" si="85"/>
        <x:v/>
      </x:c>
      <x:c r="O117" s="461" t="str">
        <x:f t="shared" si="77"/>
        <x:v/>
      </x:c>
      <x:c r="P117" s="460"/>
      <x:c r="Q117" s="461">
        <x:f t="shared" si="78"/>
        <x:v>0</x:v>
      </x:c>
      <x:c r="R117" s="462"/>
      <x:c r="S117" s="463">
        <x:f t="shared" si="79"/>
        <x:v>0</x:v>
      </x:c>
      <x:c r="T117" s="162" t="str">
        <x:f t="shared" si="80"/>
        <x:v>X</x:v>
      </x:c>
      <x:c r="U117" s="220"/>
      <x:c r="V117" s="331"/>
      <x:c r="W117" s="221"/>
      <x:c r="X117" s="222"/>
      <x:c r="Y117" s="220"/>
      <x:c r="Z117" s="222"/>
      <x:c r="AA117" s="220"/>
      <x:c r="AC117" s="487">
        <x:f t="shared" si="81"/>
        <x:v>0</x:v>
      </x:c>
      <x:c r="AD117" s="487">
        <x:f t="shared" si="3"/>
        <x:v>0</x:v>
      </x:c>
      <x:c r="AE117" s="487">
        <x:f t="shared" si="4"/>
        <x:v>0</x:v>
      </x:c>
      <x:c r="AF117" s="374" t="str">
        <x:f t="shared" si="82"/>
        <x:v/>
      </x:c>
      <x:c r="AG117" s="165"/>
      <x:c r="AH117" s="487">
        <x:f t="shared" si="5"/>
        <x:v>0</x:v>
      </x:c>
      <x:c r="AI117" s="487">
        <x:f t="shared" si="6"/>
        <x:v>0</x:v>
      </x:c>
      <x:c r="AJ117" s="487">
        <x:f t="shared" si="7"/>
        <x:v>0</x:v>
      </x:c>
      <x:c r="AK117" s="374" t="str">
        <x:f t="shared" si="8"/>
        <x:v/>
      </x:c>
      <x:c r="AL117" s="8"/>
      <x:c r="AM117" s="533"/>
      <x:c r="AN117" s="374" t="str">
        <x:f>IF($AM117="","",IF($AM117="세입없음","OK",IF(COUNTIF('3. 일입'!$AN$8:$AN$2000,$AM117),"OK","@@")))</x:f>
        <x:v/>
      </x:c>
      <x:c r="AO117" s="356" t="str">
        <x:f t="shared" si="9"/>
        <x:v/>
      </x:c>
      <x:c r="AP117" s="374" t="str">
        <x:f t="shared" si="10"/>
        <x:v/>
      </x:c>
      <x:c r="AQ117" s="93"/>
      <x:c r="AR117" s="374" t="str">
        <x:f t="array" ref="AR117:AR117">IF(OR($D117="",$C117="직접입력",$B117="직접입력"),"",INDEX(구분표!$I$3:$I$321,MATCH(1,(구분표!$G$3:$G$321=$B117)*(구분표!$E$3:$E$321=$C117)*(구분표!$F$3:$F$321=$D117),0)))</x:f>
        <x:v/>
      </x:c>
      <x:c r="AS117" s="21"/>
    </x:row>
    <x:row r="118" spans="1:45" s="20" customFormat="1" ht="60" customHeight="1">
      <x:c r="A118" s="155" t="str">
        <x:f>IF(D118="","",COUNTA($C$7:C118)-COUNTBLANK($C$7:C118)+7)</x:f>
        <x:v/>
      </x:c>
      <x:c r="B118" s="156" t="str">
        <x: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x:f>
        <x:v/>
      </x:c>
      <x:c r="C118" s="156" t="str">
        <x:f>IF(D118="","",IF(OR(D118="교육지원과",D118="총무과",D118="인사과"),"직접입력",VLOOKUP(D118,구분표!$A$3:$C$258,3,)))</x:f>
        <x:v/>
      </x:c>
      <x:c r="D118" s="219"/>
      <x:c r="E118" s="213"/>
      <x:c r="F118" s="388" t="str">
        <x:f t="shared" si="83"/>
        <x:v/>
      </x:c>
      <x:c r="G118" s="388" t="str">
        <x:f t="shared" si="83"/>
        <x:v/>
      </x:c>
      <x:c r="H118" s="213"/>
      <x:c r="I118" s="156" t="str">
        <x:f>IF(H118="","",VLOOKUP($H118,구분표!$K$3:$M$151,2,FALSE))</x:f>
        <x:v/>
      </x:c>
      <x:c r="J118" s="156" t="str">
        <x:f>IF(I118="","",VLOOKUP($H118,구분표!$K$3:$M$151,3,FALSE))</x:f>
        <x:v/>
      </x:c>
      <x:c r="K118" s="233"/>
      <x:c r="L118" s="233"/>
      <x:c r="M118" s="459" t="str">
        <x:f t="shared" si="84"/>
        <x:v/>
      </x:c>
      <x:c r="N118" s="459" t="str">
        <x:f t="shared" si="85"/>
        <x:v/>
      </x:c>
      <x:c r="O118" s="461" t="str">
        <x:f t="shared" si="77"/>
        <x:v/>
      </x:c>
      <x:c r="P118" s="460"/>
      <x:c r="Q118" s="461">
        <x:f t="shared" si="78"/>
        <x:v>0</x:v>
      </x:c>
      <x:c r="R118" s="462"/>
      <x:c r="S118" s="463">
        <x:f t="shared" si="79"/>
        <x:v>0</x:v>
      </x:c>
      <x:c r="T118" s="162" t="str">
        <x:f t="shared" si="80"/>
        <x:v>X</x:v>
      </x:c>
      <x:c r="U118" s="220"/>
      <x:c r="V118" s="331"/>
      <x:c r="W118" s="221"/>
      <x:c r="X118" s="222"/>
      <x:c r="Y118" s="220"/>
      <x:c r="Z118" s="222"/>
      <x:c r="AA118" s="220"/>
      <x:c r="AC118" s="487">
        <x:f t="shared" si="81"/>
        <x:v>0</x:v>
      </x:c>
      <x:c r="AD118" s="487">
        <x:f t="shared" si="3"/>
        <x:v>0</x:v>
      </x:c>
      <x:c r="AE118" s="487">
        <x:f t="shared" si="4"/>
        <x:v>0</x:v>
      </x:c>
      <x:c r="AF118" s="374" t="str">
        <x:f t="shared" si="82"/>
        <x:v/>
      </x:c>
      <x:c r="AG118" s="165"/>
      <x:c r="AH118" s="487">
        <x:f t="shared" si="5"/>
        <x:v>0</x:v>
      </x:c>
      <x:c r="AI118" s="487">
        <x:f t="shared" si="6"/>
        <x:v>0</x:v>
      </x:c>
      <x:c r="AJ118" s="487">
        <x:f t="shared" si="7"/>
        <x:v>0</x:v>
      </x:c>
      <x:c r="AK118" s="374" t="str">
        <x:f t="shared" si="8"/>
        <x:v/>
      </x:c>
      <x:c r="AL118" s="8"/>
      <x:c r="AM118" s="533"/>
      <x:c r="AN118" s="374" t="str">
        <x:f>IF($AM118="","",IF($AM118="세입없음","OK",IF(COUNTIF('3. 일입'!$AN$8:$AN$2000,$AM118),"OK","@@")))</x:f>
        <x:v/>
      </x:c>
      <x:c r="AO118" s="356" t="str">
        <x:f t="shared" si="9"/>
        <x:v/>
      </x:c>
      <x:c r="AP118" s="374" t="str">
        <x:f t="shared" si="10"/>
        <x:v/>
      </x:c>
      <x:c r="AQ118" s="93"/>
      <x:c r="AR118" s="374" t="str">
        <x:f t="array" ref="AR118:AR118">IF(OR($D118="",$C118="직접입력",$B118="직접입력"),"",INDEX(구분표!$I$3:$I$321,MATCH(1,(구분표!$G$3:$G$321=$B118)*(구분표!$E$3:$E$321=$C118)*(구분표!$F$3:$F$321=$D118),0)))</x:f>
        <x:v/>
      </x:c>
      <x:c r="AS118" s="21"/>
    </x:row>
    <x:row r="119" spans="1:45" s="336" customFormat="1" ht="60" customHeight="1">
      <x:c r="A119" s="335"/>
      <x:c r="B119" s="979" t="s">
        <x:v>1521</x:v>
      </x:c>
      <x:c r="C119" s="979"/>
      <x:c r="D119" s="979"/>
      <x:c r="E119" s="979"/>
      <x:c r="F119" s="979"/>
      <x:c r="G119" s="979"/>
      <x:c r="H119" s="243"/>
      <x:c r="I119" s="358"/>
      <x:c r="J119" s="358"/>
      <x:c r="K119" s="418"/>
      <x:c r="L119" s="419" t="str">
        <x:f>SUBTOTAL(3,L120:L134)&amp;"건"</x:f>
        <x:v>0건</x:v>
      </x:c>
      <x:c r="M119" s="476">
        <x:f t="shared" ref="M119:N119" si="86">SUBTOTAL(9,M120:M134)</x:f>
        <x:v>0</x:v>
      </x:c>
      <x:c r="N119" s="476">
        <x:f t="shared" si="86"/>
        <x:v>0</x:v>
      </x:c>
      <x:c r="O119" s="476">
        <x:f t="shared" ref="O119:S119" si="87">SUBTOTAL(9,O120:O134)</x:f>
        <x:v>0</x:v>
      </x:c>
      <x:c r="P119" s="476">
        <x:f t="shared" si="87"/>
        <x:v>0</x:v>
      </x:c>
      <x:c r="Q119" s="476">
        <x:f t="shared" si="87"/>
        <x:v>0</x:v>
      </x:c>
      <x:c r="R119" s="476">
        <x:f t="shared" si="87"/>
        <x:v>0</x:v>
      </x:c>
      <x:c r="S119" s="476">
        <x:f t="shared" si="87"/>
        <x:v>0</x:v>
      </x:c>
      <x:c r="T119" s="416"/>
      <x:c r="U119" s="420"/>
      <x:c r="V119" s="420"/>
      <x:c r="W119" s="186"/>
      <x:c r="X119" s="186"/>
      <x:c r="Y119" s="186"/>
      <x:c r="Z119" s="187"/>
      <x:c r="AA119" s="186"/>
      <x:c r="AC119" s="481">
        <x:f>SUBTOTAL(9,AC120:AC134)</x:f>
        <x:v>0</x:v>
      </x:c>
      <x:c r="AD119" s="481">
        <x:f>SUBTOTAL(9,AD120:AD134)</x:f>
        <x:v>0</x:v>
      </x:c>
      <x:c r="AE119" s="481">
        <x:f>SUBTOTAL(9,AE120:AE134)</x:f>
        <x:v>0</x:v>
      </x:c>
      <x:c r="AF119" s="554" t="str">
        <x:f>IF(COUNTIF(AF120:AF134,"@@")&gt;0,"@@","OK")</x:f>
        <x:v>OK</x:v>
      </x:c>
      <x:c r="AG119" s="165"/>
      <x:c r="AH119" s="481">
        <x:f>SUBTOTAL(9,AH120:AH134)</x:f>
        <x:v>0</x:v>
      </x:c>
      <x:c r="AI119" s="481">
        <x:f>SUBTOTAL(9,AI120:AI134)</x:f>
        <x:v>0</x:v>
      </x:c>
      <x:c r="AJ119" s="481">
        <x:f>SUBTOTAL(9,AJ120:AJ134)</x:f>
        <x:v>0</x:v>
      </x:c>
      <x:c r="AK119" s="554" t="str">
        <x:f>IF(COUNTIF(AK120:AK134,"@@")&gt;0,"@@","OK")</x:f>
        <x:v>OK</x:v>
      </x:c>
      <x:c r="AL119" s="165"/>
      <x:c r="AM119" s="422"/>
      <x:c r="AN119" s="554" t="str">
        <x:f>IF(COUNTIF(AN120:AN134,"@@")&gt;0,"@@","OK")</x:f>
        <x:v>OK</x:v>
      </x:c>
      <x:c r="AO119" s="422"/>
      <x:c r="AP119" s="554" t="str">
        <x:f>IF(COUNTIF(AP120:AP134,"@@")&gt;0,"@@","OK")</x:f>
        <x:v>OK</x:v>
      </x:c>
      <x:c r="AQ119" s="164"/>
      <x:c r="AR119" s="422"/>
      <x:c r="AS119" s="21"/>
    </x:row>
    <x:row r="120" spans="1:45" s="20" customFormat="1" ht="60" customHeight="1">
      <x:c r="A120" s="155" t="str">
        <x:f>IF(D120="","",COUNTA($C$7:C120)-COUNTBLANK($C$7:C120)+8)</x:f>
        <x:v/>
      </x:c>
      <x:c r="B120" s="156" t="str">
        <x: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x:f>
        <x:v/>
      </x:c>
      <x:c r="C120" s="156" t="str">
        <x:f>IF(D120="","",IF(OR(D120="교육지원과",D120="총무과",D120="인사과"),"직접입력",VLOOKUP(D120,구분표!$A$3:$C$258,3,)))</x:f>
        <x:v/>
      </x:c>
      <x:c r="D120" s="219"/>
      <x:c r="E120" s="213"/>
      <x:c r="F120" s="388" t="str">
        <x:f>IF($E120="","",IF($E120="2추","직접입력","-"))</x:f>
        <x:v/>
      </x:c>
      <x:c r="G120" s="388" t="str">
        <x:f>IF($E120="","",IF($E120="2추","직접입력","-"))</x:f>
        <x:v/>
      </x:c>
      <x:c r="H120" s="213"/>
      <x:c r="I120" s="156" t="str">
        <x:f>IF(H120="","",VLOOKUP($H120,구분표!$K$3:$M$151,2,FALSE))</x:f>
        <x:v/>
      </x:c>
      <x:c r="J120" s="156" t="str">
        <x:f>IF(I120="","",VLOOKUP($H120,구분표!$K$3:$M$151,3,FALSE))</x:f>
        <x:v/>
      </x:c>
      <x:c r="K120" s="233"/>
      <x:c r="L120" s="233"/>
      <x:c r="M120" s="459" t="str">
        <x:f>IF($E120="","",IF(OR($E120="2추",$E120="1추",$E120="본예산"),"금액입력","-"))</x:f>
        <x:v/>
      </x:c>
      <x:c r="N120" s="459" t="str">
        <x:f>IF($E120="","",IF($E120="2추","금액입력","-"))</x:f>
        <x:v/>
      </x:c>
      <x:c r="O120" s="461" t="str">
        <x:f t="shared" ref="O120:O134" si="88">IF($E120="","",SUM(M120:N120))</x:f>
        <x:v/>
      </x:c>
      <x:c r="P120" s="460"/>
      <x:c r="Q120" s="461">
        <x:f t="shared" ref="Q120:Q134" si="89">SUM(O120:P120)</x:f>
        <x:v>0</x:v>
      </x:c>
      <x:c r="R120" s="462"/>
      <x:c r="S120" s="463">
        <x:f t="shared" ref="S120:S134" si="90">SUM(O120,R120)</x:f>
        <x:v>0</x:v>
      </x:c>
      <x:c r="T120" s="162" t="str">
        <x:f t="shared" ref="T120:T134" si="91">IF(AND((Q120=0),(S120&gt;0)),"O",IF(AND((P120&lt;0),(Q120-S120&lt;0)),"O","X"))</x:f>
        <x:v>X</x:v>
      </x:c>
      <x:c r="U120" s="220"/>
      <x:c r="V120" s="331"/>
      <x:c r="W120" s="221"/>
      <x:c r="X120" s="222"/>
      <x:c r="Y120" s="220"/>
      <x:c r="Z120" s="222"/>
      <x:c r="AA120" s="220"/>
      <x:c r="AC120" s="487">
        <x:f t="shared" ref="AC120:AC134" si="92">IF($P120="",0,IF(AND(ISNUMBER(AD120),ISNUMBER(AE120)),$P120-$AD120-$AE120,0))</x:f>
        <x:v>0</x:v>
      </x:c>
      <x:c r="AD120" s="487">
        <x:f t="shared" si="3"/>
        <x:v>0</x:v>
      </x:c>
      <x:c r="AE120" s="487">
        <x:f t="shared" si="4"/>
        <x:v>0</x:v>
      </x:c>
      <x:c r="AF120" s="374" t="str">
        <x:f t="shared" ref="AF120:AF134" si="93">IF($P120="",IF(SUM($AC120:$AE120)=0,"","@@"),IF(AND($P120=SUM($AC120:$AE120),Q120&gt;=0),"OK","@@"))</x:f>
        <x:v/>
      </x:c>
      <x:c r="AG120" s="165"/>
      <x:c r="AH120" s="487">
        <x:f t="shared" si="5"/>
        <x:v>0</x:v>
      </x:c>
      <x:c r="AI120" s="487">
        <x:f t="shared" si="6"/>
        <x:v>0</x:v>
      </x:c>
      <x:c r="AJ120" s="487">
        <x:f t="shared" si="7"/>
        <x:v>0</x:v>
      </x:c>
      <x:c r="AK120" s="374" t="str">
        <x:f t="shared" si="8"/>
        <x:v/>
      </x:c>
      <x:c r="AL120" s="8"/>
      <x:c r="AM120" s="533"/>
      <x:c r="AN120" s="374" t="str">
        <x:f>IF($AM120="","",IF($AM120="세입없음","OK",IF(COUNTIF('3. 일입'!$AN$8:$AN$2000,$AM120),"OK","@@")))</x:f>
        <x:v/>
      </x:c>
      <x:c r="AO120" s="356" t="str">
        <x:f t="shared" si="9"/>
        <x:v/>
      </x:c>
      <x:c r="AP120" s="374" t="str">
        <x:f t="shared" si="10"/>
        <x:v/>
      </x:c>
      <x:c r="AQ120" s="93"/>
      <x:c r="AR120" s="374" t="str">
        <x:f t="array" ref="AR120:AR120">IF(OR($D120="",$C120="직접입력",$B120="직접입력"),"",INDEX(구분표!$I$3:$I$321,MATCH(1,(구분표!$G$3:$G$321=$B120)*(구분표!$E$3:$E$321=$C120)*(구분표!$F$3:$F$321=$D120),0)))</x:f>
        <x:v/>
      </x:c>
      <x:c r="AS120" s="21"/>
    </x:row>
    <x:row r="121" spans="1:45" s="20" customFormat="1" ht="60" customHeight="1">
      <x:c r="A121" s="155" t="str">
        <x:f>IF(D121="","",COUNTA($C$7:C121)-COUNTBLANK($C$7:C121)+8)</x:f>
        <x:v/>
      </x:c>
      <x:c r="B121" s="156" t="str">
        <x: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x:f>
        <x:v/>
      </x:c>
      <x:c r="C121" s="156" t="str">
        <x:f>IF(D121="","",IF(OR(D121="교육지원과",D121="총무과",D121="인사과"),"직접입력",VLOOKUP(D121,구분표!$A$3:$C$258,3,)))</x:f>
        <x:v/>
      </x:c>
      <x:c r="D121" s="219"/>
      <x:c r="E121" s="213"/>
      <x:c r="F121" s="388" t="str">
        <x:f t="shared" ref="F121:G134" si="94">IF($E121="","",IF($E121="2추","직접입력","-"))</x:f>
        <x:v/>
      </x:c>
      <x:c r="G121" s="388" t="str">
        <x:f t="shared" si="94"/>
        <x:v/>
      </x:c>
      <x:c r="H121" s="213"/>
      <x:c r="I121" s="156" t="str">
        <x:f>IF(H121="","",VLOOKUP($H121,구분표!$K$3:$M$151,2,FALSE))</x:f>
        <x:v/>
      </x:c>
      <x:c r="J121" s="156" t="str">
        <x:f>IF(I121="","",VLOOKUP($H121,구분표!$K$3:$M$151,3,FALSE))</x:f>
        <x:v/>
      </x:c>
      <x:c r="K121" s="233"/>
      <x:c r="L121" s="233"/>
      <x:c r="M121" s="459" t="str">
        <x:f t="shared" ref="M121:M134" si="95">IF($E121="","",IF(OR($E121="2추",$E121="1추",$E121="본예산"),"금액입력","-"))</x:f>
        <x:v/>
      </x:c>
      <x:c r="N121" s="459" t="str">
        <x:f t="shared" ref="N121:N134" si="96">IF($E121="","",IF($E121="2추","금액입력","-"))</x:f>
        <x:v/>
      </x:c>
      <x:c r="O121" s="461" t="str">
        <x:f t="shared" si="88"/>
        <x:v/>
      </x:c>
      <x:c r="P121" s="460"/>
      <x:c r="Q121" s="461">
        <x:f t="shared" si="89"/>
        <x:v>0</x:v>
      </x:c>
      <x:c r="R121" s="462"/>
      <x:c r="S121" s="463">
        <x:f t="shared" si="90"/>
        <x:v>0</x:v>
      </x:c>
      <x:c r="T121" s="162" t="str">
        <x:f t="shared" si="91"/>
        <x:v>X</x:v>
      </x:c>
      <x:c r="U121" s="220"/>
      <x:c r="V121" s="331"/>
      <x:c r="W121" s="221"/>
      <x:c r="X121" s="222"/>
      <x:c r="Y121" s="220"/>
      <x:c r="Z121" s="222"/>
      <x:c r="AA121" s="220"/>
      <x:c r="AC121" s="487">
        <x:f t="shared" si="92"/>
        <x:v>0</x:v>
      </x:c>
      <x:c r="AD121" s="487">
        <x:f t="shared" si="3"/>
        <x:v>0</x:v>
      </x:c>
      <x:c r="AE121" s="487">
        <x:f t="shared" si="4"/>
        <x:v>0</x:v>
      </x:c>
      <x:c r="AF121" s="374" t="str">
        <x:f t="shared" si="93"/>
        <x:v/>
      </x:c>
      <x:c r="AG121" s="165"/>
      <x:c r="AH121" s="487">
        <x:f t="shared" si="5"/>
        <x:v>0</x:v>
      </x:c>
      <x:c r="AI121" s="487">
        <x:f t="shared" si="6"/>
        <x:v>0</x:v>
      </x:c>
      <x:c r="AJ121" s="487">
        <x:f t="shared" si="7"/>
        <x:v>0</x:v>
      </x:c>
      <x:c r="AK121" s="374" t="str">
        <x:f t="shared" si="8"/>
        <x:v/>
      </x:c>
      <x:c r="AL121" s="8"/>
      <x:c r="AM121" s="533"/>
      <x:c r="AN121" s="374" t="str">
        <x:f>IF($AM121="","",IF($AM121="세입없음","OK",IF(COUNTIF('3. 일입'!$AN$8:$AN$2000,$AM121),"OK","@@")))</x:f>
        <x:v/>
      </x:c>
      <x:c r="AO121" s="356" t="str">
        <x:f t="shared" si="9"/>
        <x:v/>
      </x:c>
      <x:c r="AP121" s="374" t="str">
        <x:f t="shared" si="10"/>
        <x:v/>
      </x:c>
      <x:c r="AQ121" s="93"/>
      <x:c r="AR121" s="374" t="str">
        <x:f t="array" ref="AR121:AR121">IF(OR($D121="",$C121="직접입력",$B121="직접입력"),"",INDEX(구분표!$I$3:$I$321,MATCH(1,(구분표!$G$3:$G$321=$B121)*(구분표!$E$3:$E$321=$C121)*(구분표!$F$3:$F$321=$D121),0)))</x:f>
        <x:v/>
      </x:c>
      <x:c r="AS121" s="21"/>
    </x:row>
    <x:row r="122" spans="1:45" s="20" customFormat="1" ht="60" customHeight="1">
      <x:c r="A122" s="155" t="str">
        <x:f>IF(D122="","",COUNTA($C$7:C122)-COUNTBLANK($C$7:C122)+8)</x:f>
        <x:v/>
      </x:c>
      <x:c r="B122" s="156" t="str">
        <x: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x:f>
        <x:v/>
      </x:c>
      <x:c r="C122" s="156" t="str">
        <x:f>IF(D122="","",IF(OR(D122="교육지원과",D122="총무과",D122="인사과"),"직접입력",VLOOKUP(D122,구분표!$A$3:$C$258,3,)))</x:f>
        <x:v/>
      </x:c>
      <x:c r="D122" s="219"/>
      <x:c r="E122" s="213"/>
      <x:c r="F122" s="388" t="str">
        <x:f t="shared" si="94"/>
        <x:v/>
      </x:c>
      <x:c r="G122" s="388" t="str">
        <x:f t="shared" si="94"/>
        <x:v/>
      </x:c>
      <x:c r="H122" s="213"/>
      <x:c r="I122" s="156" t="str">
        <x:f>IF(H122="","",VLOOKUP($H122,구분표!$K$3:$M$151,2,FALSE))</x:f>
        <x:v/>
      </x:c>
      <x:c r="J122" s="156" t="str">
        <x:f>IF(I122="","",VLOOKUP($H122,구분표!$K$3:$M$151,3,FALSE))</x:f>
        <x:v/>
      </x:c>
      <x:c r="K122" s="233"/>
      <x:c r="L122" s="233"/>
      <x:c r="M122" s="459" t="str">
        <x:f t="shared" si="95"/>
        <x:v/>
      </x:c>
      <x:c r="N122" s="459" t="str">
        <x:f t="shared" si="96"/>
        <x:v/>
      </x:c>
      <x:c r="O122" s="461" t="str">
        <x:f t="shared" si="88"/>
        <x:v/>
      </x:c>
      <x:c r="P122" s="460"/>
      <x:c r="Q122" s="461">
        <x:f t="shared" si="89"/>
        <x:v>0</x:v>
      </x:c>
      <x:c r="R122" s="462"/>
      <x:c r="S122" s="463">
        <x:f t="shared" si="90"/>
        <x:v>0</x:v>
      </x:c>
      <x:c r="T122" s="162" t="str">
        <x:f t="shared" si="91"/>
        <x:v>X</x:v>
      </x:c>
      <x:c r="U122" s="220"/>
      <x:c r="V122" s="331"/>
      <x:c r="W122" s="221"/>
      <x:c r="X122" s="222"/>
      <x:c r="Y122" s="220"/>
      <x:c r="Z122" s="222"/>
      <x:c r="AA122" s="220"/>
      <x:c r="AC122" s="487">
        <x:f t="shared" si="92"/>
        <x:v>0</x:v>
      </x:c>
      <x:c r="AD122" s="487">
        <x:f t="shared" si="3"/>
        <x:v>0</x:v>
      </x:c>
      <x:c r="AE122" s="487">
        <x:f t="shared" si="4"/>
        <x:v>0</x:v>
      </x:c>
      <x:c r="AF122" s="374" t="str">
        <x:f t="shared" si="93"/>
        <x:v/>
      </x:c>
      <x:c r="AG122" s="165"/>
      <x:c r="AH122" s="487">
        <x:f t="shared" si="5"/>
        <x:v>0</x:v>
      </x:c>
      <x:c r="AI122" s="487">
        <x:f t="shared" si="6"/>
        <x:v>0</x:v>
      </x:c>
      <x:c r="AJ122" s="487">
        <x:f t="shared" si="7"/>
        <x:v>0</x:v>
      </x:c>
      <x:c r="AK122" s="374" t="str">
        <x:f t="shared" si="8"/>
        <x:v/>
      </x:c>
      <x:c r="AL122" s="8"/>
      <x:c r="AM122" s="533"/>
      <x:c r="AN122" s="374" t="str">
        <x:f>IF($AM122="","",IF($AM122="세입없음","OK",IF(COUNTIF('3. 일입'!$AN$8:$AN$2000,$AM122),"OK","@@")))</x:f>
        <x:v/>
      </x:c>
      <x:c r="AO122" s="356" t="str">
        <x:f t="shared" si="9"/>
        <x:v/>
      </x:c>
      <x:c r="AP122" s="374" t="str">
        <x:f t="shared" si="10"/>
        <x:v/>
      </x:c>
      <x:c r="AQ122" s="93"/>
      <x:c r="AR122" s="374" t="str">
        <x:f t="array" ref="AR122:AR122">IF(OR($D122="",$C122="직접입력",$B122="직접입력"),"",INDEX(구분표!$I$3:$I$321,MATCH(1,(구분표!$G$3:$G$321=$B122)*(구분표!$E$3:$E$321=$C122)*(구분표!$F$3:$F$321=$D122),0)))</x:f>
        <x:v/>
      </x:c>
      <x:c r="AS122" s="21"/>
    </x:row>
    <x:row r="123" spans="1:45" s="157" customFormat="1" ht="60" customHeight="1">
      <x:c r="A123" s="155" t="str">
        <x:f>IF(D123="","",COUNTA($C$7:C123)-COUNTBLANK($C$7:C123)+8)</x:f>
        <x:v/>
      </x:c>
      <x:c r="B123" s="156" t="str">
        <x: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x:f>
        <x:v/>
      </x:c>
      <x:c r="C123" s="156" t="str">
        <x:f>IF(D123="","",IF(OR(D123="교육지원과",D123="총무과",D123="인사과"),"직접입력",VLOOKUP(D123,구분표!$A$3:$C$258,3,)))</x:f>
        <x:v/>
      </x:c>
      <x:c r="D123" s="219"/>
      <x:c r="E123" s="213"/>
      <x:c r="F123" s="388" t="str">
        <x:f t="shared" si="94"/>
        <x:v/>
      </x:c>
      <x:c r="G123" s="388" t="str">
        <x:f t="shared" si="94"/>
        <x:v/>
      </x:c>
      <x:c r="H123" s="213"/>
      <x:c r="I123" s="156" t="str">
        <x:f>IF(H123="","",VLOOKUP($H123,구분표!$K$3:$M$151,2,FALSE))</x:f>
        <x:v/>
      </x:c>
      <x:c r="J123" s="156" t="str">
        <x:f>IF(I123="","",VLOOKUP($H123,구분표!$K$3:$M$151,3,FALSE))</x:f>
        <x:v/>
      </x:c>
      <x:c r="K123" s="233"/>
      <x:c r="L123" s="233"/>
      <x:c r="M123" s="459" t="str">
        <x:f t="shared" si="95"/>
        <x:v/>
      </x:c>
      <x:c r="N123" s="459" t="str">
        <x:f t="shared" si="96"/>
        <x:v/>
      </x:c>
      <x:c r="O123" s="461" t="str">
        <x:f t="shared" si="88"/>
        <x:v/>
      </x:c>
      <x:c r="P123" s="460"/>
      <x:c r="Q123" s="461">
        <x:f t="shared" si="89"/>
        <x:v>0</x:v>
      </x:c>
      <x:c r="R123" s="462"/>
      <x:c r="S123" s="463">
        <x:f t="shared" si="90"/>
        <x:v>0</x:v>
      </x:c>
      <x:c r="T123" s="162" t="str">
        <x:f t="shared" si="91"/>
        <x:v>X</x:v>
      </x:c>
      <x:c r="U123" s="220"/>
      <x:c r="V123" s="331"/>
      <x:c r="W123" s="221"/>
      <x:c r="X123" s="222"/>
      <x:c r="Y123" s="220"/>
      <x:c r="Z123" s="222"/>
      <x:c r="AA123" s="220"/>
      <x:c r="AB123" s="20"/>
      <x:c r="AC123" s="487">
        <x:f t="shared" si="92"/>
        <x:v>0</x:v>
      </x:c>
      <x:c r="AD123" s="487">
        <x:f t="shared" si="3"/>
        <x:v>0</x:v>
      </x:c>
      <x:c r="AE123" s="487">
        <x:f t="shared" si="4"/>
        <x:v>0</x:v>
      </x:c>
      <x:c r="AF123" s="374" t="str">
        <x:f t="shared" si="93"/>
        <x:v/>
      </x:c>
      <x:c r="AG123" s="165"/>
      <x:c r="AH123" s="487">
        <x:f t="shared" si="5"/>
        <x:v>0</x:v>
      </x:c>
      <x:c r="AI123" s="487">
        <x:f t="shared" si="6"/>
        <x:v>0</x:v>
      </x:c>
      <x:c r="AJ123" s="487">
        <x:f t="shared" si="7"/>
        <x:v>0</x:v>
      </x:c>
      <x:c r="AK123" s="374" t="str">
        <x:f t="shared" si="8"/>
        <x:v/>
      </x:c>
      <x:c r="AL123" s="8"/>
      <x:c r="AM123" s="533"/>
      <x:c r="AN123" s="374" t="str">
        <x:f>IF($AM123="","",IF($AM123="세입없음","OK",IF(COUNTIF('3. 일입'!$AN$8:$AN$2000,$AM123),"OK","@@")))</x:f>
        <x:v/>
      </x:c>
      <x:c r="AO123" s="356" t="str">
        <x:f t="shared" si="9"/>
        <x:v/>
      </x:c>
      <x:c r="AP123" s="374" t="str">
        <x:f t="shared" si="10"/>
        <x:v/>
      </x:c>
      <x:c r="AQ123" s="93"/>
      <x:c r="AR123" s="374" t="str">
        <x:f t="array" ref="AR123:AR123">IF(OR($D123="",$C123="직접입력",$B123="직접입력"),"",INDEX(구분표!$I$3:$I$321,MATCH(1,(구분표!$G$3:$G$321=$B123)*(구분표!$E$3:$E$321=$C123)*(구분표!$F$3:$F$321=$D123),0)))</x:f>
        <x:v/>
      </x:c>
      <x:c r="AS123" s="21"/>
    </x:row>
    <x:row r="124" spans="1:45" s="20" customFormat="1" ht="60" customHeight="1">
      <x:c r="A124" s="155" t="str">
        <x:f>IF(D124="","",COUNTA($C$7:C124)-COUNTBLANK($C$7:C124)+8)</x:f>
        <x:v/>
      </x:c>
      <x:c r="B124" s="156" t="str">
        <x: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x:f>
        <x:v/>
      </x:c>
      <x:c r="C124" s="156" t="str">
        <x:f>IF(D124="","",IF(OR(D124="교육지원과",D124="총무과",D124="인사과"),"직접입력",VLOOKUP(D124,구분표!$A$3:$C$258,3,)))</x:f>
        <x:v/>
      </x:c>
      <x:c r="D124" s="219"/>
      <x:c r="E124" s="213"/>
      <x:c r="F124" s="388" t="str">
        <x:f t="shared" si="94"/>
        <x:v/>
      </x:c>
      <x:c r="G124" s="388" t="str">
        <x:f t="shared" si="94"/>
        <x:v/>
      </x:c>
      <x:c r="H124" s="213"/>
      <x:c r="I124" s="156" t="str">
        <x:f>IF(H124="","",VLOOKUP($H124,구분표!$K$3:$M$151,2,FALSE))</x:f>
        <x:v/>
      </x:c>
      <x:c r="J124" s="156" t="str">
        <x:f>IF(I124="","",VLOOKUP($H124,구분표!$K$3:$M$151,3,FALSE))</x:f>
        <x:v/>
      </x:c>
      <x:c r="K124" s="233"/>
      <x:c r="L124" s="233"/>
      <x:c r="M124" s="459" t="str">
        <x:f t="shared" si="95"/>
        <x:v/>
      </x:c>
      <x:c r="N124" s="459" t="str">
        <x:f t="shared" si="96"/>
        <x:v/>
      </x:c>
      <x:c r="O124" s="461" t="str">
        <x:f t="shared" si="88"/>
        <x:v/>
      </x:c>
      <x:c r="P124" s="460"/>
      <x:c r="Q124" s="461">
        <x:f t="shared" si="89"/>
        <x:v>0</x:v>
      </x:c>
      <x:c r="R124" s="462"/>
      <x:c r="S124" s="463">
        <x:f t="shared" si="90"/>
        <x:v>0</x:v>
      </x:c>
      <x:c r="T124" s="162" t="str">
        <x:f t="shared" si="91"/>
        <x:v>X</x:v>
      </x:c>
      <x:c r="U124" s="220"/>
      <x:c r="V124" s="331"/>
      <x:c r="W124" s="221"/>
      <x:c r="X124" s="222"/>
      <x:c r="Y124" s="220"/>
      <x:c r="Z124" s="222"/>
      <x:c r="AA124" s="220"/>
      <x:c r="AC124" s="487">
        <x:f t="shared" si="92"/>
        <x:v>0</x:v>
      </x:c>
      <x:c r="AD124" s="487">
        <x:f t="shared" si="3"/>
        <x:v>0</x:v>
      </x:c>
      <x:c r="AE124" s="487">
        <x:f t="shared" si="4"/>
        <x:v>0</x:v>
      </x:c>
      <x:c r="AF124" s="374" t="str">
        <x:f t="shared" si="93"/>
        <x:v/>
      </x:c>
      <x:c r="AG124" s="165"/>
      <x:c r="AH124" s="487">
        <x:f t="shared" si="5"/>
        <x:v>0</x:v>
      </x:c>
      <x:c r="AI124" s="487">
        <x:f t="shared" si="6"/>
        <x:v>0</x:v>
      </x:c>
      <x:c r="AJ124" s="487">
        <x:f t="shared" si="7"/>
        <x:v>0</x:v>
      </x:c>
      <x:c r="AK124" s="374" t="str">
        <x:f t="shared" si="8"/>
        <x:v/>
      </x:c>
      <x:c r="AL124" s="8"/>
      <x:c r="AM124" s="533"/>
      <x:c r="AN124" s="374" t="str">
        <x:f>IF($AM124="","",IF($AM124="세입없음","OK",IF(COUNTIF('3. 일입'!$AN$8:$AN$2000,$AM124),"OK","@@")))</x:f>
        <x:v/>
      </x:c>
      <x:c r="AO124" s="356" t="str">
        <x:f t="shared" si="9"/>
        <x:v/>
      </x:c>
      <x:c r="AP124" s="374" t="str">
        <x:f t="shared" si="10"/>
        <x:v/>
      </x:c>
      <x:c r="AQ124" s="93"/>
      <x:c r="AR124" s="374" t="str">
        <x:f t="array" ref="AR124:AR124">IF(OR($D124="",$C124="직접입력",$B124="직접입력"),"",INDEX(구분표!$I$3:$I$321,MATCH(1,(구분표!$G$3:$G$321=$B124)*(구분표!$E$3:$E$321=$C124)*(구분표!$F$3:$F$321=$D124),0)))</x:f>
        <x:v/>
      </x:c>
      <x:c r="AS124" s="21"/>
    </x:row>
    <x:row r="125" spans="1:45" s="20" customFormat="1" ht="60" customHeight="1">
      <x:c r="A125" s="155" t="str">
        <x:f>IF(D125="","",COUNTA($C$7:C125)-COUNTBLANK($C$7:C125)+8)</x:f>
        <x:v/>
      </x:c>
      <x:c r="B125" s="156" t="str">
        <x: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x:f>
        <x:v/>
      </x:c>
      <x:c r="C125" s="156" t="str">
        <x:f>IF(D125="","",IF(OR(D125="교육지원과",D125="총무과",D125="인사과"),"직접입력",VLOOKUP(D125,구분표!$A$3:$C$258,3,)))</x:f>
        <x:v/>
      </x:c>
      <x:c r="D125" s="219"/>
      <x:c r="E125" s="213"/>
      <x:c r="F125" s="388" t="str">
        <x:f t="shared" si="94"/>
        <x:v/>
      </x:c>
      <x:c r="G125" s="388" t="str">
        <x:f t="shared" si="94"/>
        <x:v/>
      </x:c>
      <x:c r="H125" s="213"/>
      <x:c r="I125" s="156" t="str">
        <x:f>IF(H125="","",VLOOKUP($H125,구분표!$K$3:$M$151,2,FALSE))</x:f>
        <x:v/>
      </x:c>
      <x:c r="J125" s="156" t="str">
        <x:f>IF(I125="","",VLOOKUP($H125,구분표!$K$3:$M$151,3,FALSE))</x:f>
        <x:v/>
      </x:c>
      <x:c r="K125" s="233"/>
      <x:c r="L125" s="233"/>
      <x:c r="M125" s="459" t="str">
        <x:f t="shared" si="95"/>
        <x:v/>
      </x:c>
      <x:c r="N125" s="459" t="str">
        <x:f t="shared" si="96"/>
        <x:v/>
      </x:c>
      <x:c r="O125" s="461" t="str">
        <x:f t="shared" si="88"/>
        <x:v/>
      </x:c>
      <x:c r="P125" s="460"/>
      <x:c r="Q125" s="461">
        <x:f t="shared" si="89"/>
        <x:v>0</x:v>
      </x:c>
      <x:c r="R125" s="462"/>
      <x:c r="S125" s="463">
        <x:f t="shared" si="90"/>
        <x:v>0</x:v>
      </x:c>
      <x:c r="T125" s="162" t="str">
        <x:f t="shared" si="91"/>
        <x:v>X</x:v>
      </x:c>
      <x:c r="U125" s="220"/>
      <x:c r="V125" s="331"/>
      <x:c r="W125" s="221"/>
      <x:c r="X125" s="222"/>
      <x:c r="Y125" s="220"/>
      <x:c r="Z125" s="222"/>
      <x:c r="AA125" s="220"/>
      <x:c r="AC125" s="487">
        <x:f t="shared" si="92"/>
        <x:v>0</x:v>
      </x:c>
      <x:c r="AD125" s="487">
        <x:f t="shared" si="3"/>
        <x:v>0</x:v>
      </x:c>
      <x:c r="AE125" s="487">
        <x:f t="shared" si="4"/>
        <x:v>0</x:v>
      </x:c>
      <x:c r="AF125" s="374" t="str">
        <x:f t="shared" si="93"/>
        <x:v/>
      </x:c>
      <x:c r="AG125" s="165"/>
      <x:c r="AH125" s="487">
        <x:f t="shared" si="5"/>
        <x:v>0</x:v>
      </x:c>
      <x:c r="AI125" s="487">
        <x:f t="shared" si="6"/>
        <x:v>0</x:v>
      </x:c>
      <x:c r="AJ125" s="487">
        <x:f t="shared" si="7"/>
        <x:v>0</x:v>
      </x:c>
      <x:c r="AK125" s="374" t="str">
        <x:f t="shared" si="8"/>
        <x:v/>
      </x:c>
      <x:c r="AL125" s="8"/>
      <x:c r="AM125" s="533"/>
      <x:c r="AN125" s="374" t="str">
        <x:f>IF($AM125="","",IF($AM125="세입없음","OK",IF(COUNTIF('3. 일입'!$AN$8:$AN$2000,$AM125),"OK","@@")))</x:f>
        <x:v/>
      </x:c>
      <x:c r="AO125" s="356" t="str">
        <x:f t="shared" si="9"/>
        <x:v/>
      </x:c>
      <x:c r="AP125" s="374" t="str">
        <x:f t="shared" si="10"/>
        <x:v/>
      </x:c>
      <x:c r="AQ125" s="93"/>
      <x:c r="AR125" s="374" t="str">
        <x:f t="array" ref="AR125:AR125">IF(OR($D125="",$C125="직접입력",$B125="직접입력"),"",INDEX(구분표!$I$3:$I$321,MATCH(1,(구분표!$G$3:$G$321=$B125)*(구분표!$E$3:$E$321=$C125)*(구분표!$F$3:$F$321=$D125),0)))</x:f>
        <x:v/>
      </x:c>
      <x:c r="AS125" s="21"/>
    </x:row>
    <x:row r="126" spans="1:45" s="20" customFormat="1" ht="60" customHeight="1">
      <x:c r="A126" s="155" t="str">
        <x:f>IF(D126="","",COUNTA($C$7:C126)-COUNTBLANK($C$7:C126)+8)</x:f>
        <x:v/>
      </x:c>
      <x:c r="B126" s="156" t="str">
        <x: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x:f>
        <x:v/>
      </x:c>
      <x:c r="C126" s="156" t="str">
        <x:f>IF(D126="","",IF(OR(D126="교육지원과",D126="총무과",D126="인사과"),"직접입력",VLOOKUP(D126,구분표!$A$3:$C$258,3,)))</x:f>
        <x:v/>
      </x:c>
      <x:c r="D126" s="219"/>
      <x:c r="E126" s="213"/>
      <x:c r="F126" s="388" t="str">
        <x:f t="shared" si="94"/>
        <x:v/>
      </x:c>
      <x:c r="G126" s="388" t="str">
        <x:f t="shared" si="94"/>
        <x:v/>
      </x:c>
      <x:c r="H126" s="213"/>
      <x:c r="I126" s="156" t="str">
        <x:f>IF(H126="","",VLOOKUP($H126,구분표!$K$3:$M$151,2,FALSE))</x:f>
        <x:v/>
      </x:c>
      <x:c r="J126" s="156" t="str">
        <x:f>IF(I126="","",VLOOKUP($H126,구분표!$K$3:$M$151,3,FALSE))</x:f>
        <x:v/>
      </x:c>
      <x:c r="K126" s="233"/>
      <x:c r="L126" s="233"/>
      <x:c r="M126" s="459" t="str">
        <x:f t="shared" si="95"/>
        <x:v/>
      </x:c>
      <x:c r="N126" s="459" t="str">
        <x:f t="shared" si="96"/>
        <x:v/>
      </x:c>
      <x:c r="O126" s="461" t="str">
        <x:f t="shared" si="88"/>
        <x:v/>
      </x:c>
      <x:c r="P126" s="460"/>
      <x:c r="Q126" s="461">
        <x:f t="shared" si="89"/>
        <x:v>0</x:v>
      </x:c>
      <x:c r="R126" s="462"/>
      <x:c r="S126" s="463">
        <x:f t="shared" si="90"/>
        <x:v>0</x:v>
      </x:c>
      <x:c r="T126" s="162" t="str">
        <x:f t="shared" si="91"/>
        <x:v>X</x:v>
      </x:c>
      <x:c r="U126" s="220"/>
      <x:c r="V126" s="331"/>
      <x:c r="W126" s="221"/>
      <x:c r="X126" s="222"/>
      <x:c r="Y126" s="220"/>
      <x:c r="Z126" s="222"/>
      <x:c r="AA126" s="220"/>
      <x:c r="AC126" s="487">
        <x:f t="shared" si="92"/>
        <x:v>0</x:v>
      </x:c>
      <x:c r="AD126" s="487">
        <x:f t="shared" si="3"/>
        <x:v>0</x:v>
      </x:c>
      <x:c r="AE126" s="487">
        <x:f t="shared" si="4"/>
        <x:v>0</x:v>
      </x:c>
      <x:c r="AF126" s="374" t="str">
        <x:f t="shared" si="93"/>
        <x:v/>
      </x:c>
      <x:c r="AG126" s="165"/>
      <x:c r="AH126" s="487">
        <x:f t="shared" si="5"/>
        <x:v>0</x:v>
      </x:c>
      <x:c r="AI126" s="487">
        <x:f t="shared" si="6"/>
        <x:v>0</x:v>
      </x:c>
      <x:c r="AJ126" s="487">
        <x:f t="shared" si="7"/>
        <x:v>0</x:v>
      </x:c>
      <x:c r="AK126" s="374" t="str">
        <x:f t="shared" si="8"/>
        <x:v/>
      </x:c>
      <x:c r="AL126" s="8"/>
      <x:c r="AM126" s="533"/>
      <x:c r="AN126" s="374" t="str">
        <x:f>IF($AM126="","",IF($AM126="세입없음","OK",IF(COUNTIF('3. 일입'!$AN$8:$AN$2000,$AM126),"OK","@@")))</x:f>
        <x:v/>
      </x:c>
      <x:c r="AO126" s="356" t="str">
        <x:f t="shared" si="9"/>
        <x:v/>
      </x:c>
      <x:c r="AP126" s="374" t="str">
        <x:f t="shared" si="10"/>
        <x:v/>
      </x:c>
      <x:c r="AQ126" s="93"/>
      <x:c r="AR126" s="374" t="str">
        <x:f t="array" ref="AR126:AR126">IF(OR($D126="",$C126="직접입력",$B126="직접입력"),"",INDEX(구분표!$I$3:$I$321,MATCH(1,(구분표!$G$3:$G$321=$B126)*(구분표!$E$3:$E$321=$C126)*(구분표!$F$3:$F$321=$D126),0)))</x:f>
        <x:v/>
      </x:c>
      <x:c r="AS126" s="21"/>
    </x:row>
    <x:row r="127" spans="1:45" s="20" customFormat="1" ht="60" customHeight="1">
      <x:c r="A127" s="155" t="str">
        <x:f>IF(D127="","",COUNTA($C$7:C127)-COUNTBLANK($C$7:C127)+8)</x:f>
        <x:v/>
      </x:c>
      <x:c r="B127" s="156" t="str">
        <x: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x:f>
        <x:v/>
      </x:c>
      <x:c r="C127" s="156" t="str">
        <x:f>IF(D127="","",IF(OR(D127="교육지원과",D127="총무과",D127="인사과"),"직접입력",VLOOKUP(D127,구분표!$A$3:$C$258,3,)))</x:f>
        <x:v/>
      </x:c>
      <x:c r="D127" s="219"/>
      <x:c r="E127" s="213"/>
      <x:c r="F127" s="388" t="str">
        <x:f t="shared" si="94"/>
        <x:v/>
      </x:c>
      <x:c r="G127" s="388" t="str">
        <x:f t="shared" si="94"/>
        <x:v/>
      </x:c>
      <x:c r="H127" s="213"/>
      <x:c r="I127" s="156" t="str">
        <x:f>IF(H127="","",VLOOKUP($H127,구분표!$K$3:$M$151,2,FALSE))</x:f>
        <x:v/>
      </x:c>
      <x:c r="J127" s="156" t="str">
        <x:f>IF(I127="","",VLOOKUP($H127,구분표!$K$3:$M$151,3,FALSE))</x:f>
        <x:v/>
      </x:c>
      <x:c r="K127" s="233"/>
      <x:c r="L127" s="233"/>
      <x:c r="M127" s="459" t="str">
        <x:f t="shared" si="95"/>
        <x:v/>
      </x:c>
      <x:c r="N127" s="459" t="str">
        <x:f t="shared" si="96"/>
        <x:v/>
      </x:c>
      <x:c r="O127" s="461" t="str">
        <x:f t="shared" si="88"/>
        <x:v/>
      </x:c>
      <x:c r="P127" s="460"/>
      <x:c r="Q127" s="461">
        <x:f t="shared" si="89"/>
        <x:v>0</x:v>
      </x:c>
      <x:c r="R127" s="462"/>
      <x:c r="S127" s="463">
        <x:f t="shared" si="90"/>
        <x:v>0</x:v>
      </x:c>
      <x:c r="T127" s="162" t="str">
        <x:f t="shared" si="91"/>
        <x:v>X</x:v>
      </x:c>
      <x:c r="U127" s="220"/>
      <x:c r="V127" s="331"/>
      <x:c r="W127" s="221"/>
      <x:c r="X127" s="222"/>
      <x:c r="Y127" s="220"/>
      <x:c r="Z127" s="222"/>
      <x:c r="AA127" s="220"/>
      <x:c r="AC127" s="487">
        <x:f t="shared" si="92"/>
        <x:v>0</x:v>
      </x:c>
      <x:c r="AD127" s="487">
        <x:f t="shared" si="3"/>
        <x:v>0</x:v>
      </x:c>
      <x:c r="AE127" s="487">
        <x:f t="shared" si="4"/>
        <x:v>0</x:v>
      </x:c>
      <x:c r="AF127" s="374" t="str">
        <x:f t="shared" si="93"/>
        <x:v/>
      </x:c>
      <x:c r="AG127" s="165"/>
      <x:c r="AH127" s="487">
        <x:f t="shared" si="5"/>
        <x:v>0</x:v>
      </x:c>
      <x:c r="AI127" s="487">
        <x:f t="shared" si="6"/>
        <x:v>0</x:v>
      </x:c>
      <x:c r="AJ127" s="487">
        <x:f t="shared" si="7"/>
        <x:v>0</x:v>
      </x:c>
      <x:c r="AK127" s="374" t="str">
        <x:f t="shared" si="8"/>
        <x:v/>
      </x:c>
      <x:c r="AL127" s="8"/>
      <x:c r="AM127" s="533"/>
      <x:c r="AN127" s="374" t="str">
        <x:f>IF($AM127="","",IF($AM127="세입없음","OK",IF(COUNTIF('3. 일입'!$AN$8:$AN$2000,$AM127),"OK","@@")))</x:f>
        <x:v/>
      </x:c>
      <x:c r="AO127" s="356" t="str">
        <x:f t="shared" si="9"/>
        <x:v/>
      </x:c>
      <x:c r="AP127" s="374" t="str">
        <x:f t="shared" si="10"/>
        <x:v/>
      </x:c>
      <x:c r="AQ127" s="93"/>
      <x:c r="AR127" s="374" t="str">
        <x:f t="array" ref="AR127:AR127">IF(OR($D127="",$C127="직접입력",$B127="직접입력"),"",INDEX(구분표!$I$3:$I$321,MATCH(1,(구분표!$G$3:$G$321=$B127)*(구분표!$E$3:$E$321=$C127)*(구분표!$F$3:$F$321=$D127),0)))</x:f>
        <x:v/>
      </x:c>
      <x:c r="AS127" s="21"/>
    </x:row>
    <x:row r="128" spans="1:45" s="157" customFormat="1" ht="60" customHeight="1">
      <x:c r="A128" s="155" t="str">
        <x:f>IF(D128="","",COUNTA($C$7:C128)-COUNTBLANK($C$7:C128)+8)</x:f>
        <x:v/>
      </x:c>
      <x:c r="B128" s="156" t="str">
        <x: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x:f>
        <x:v/>
      </x:c>
      <x:c r="C128" s="156" t="str">
        <x:f>IF(D128="","",IF(OR(D128="교육지원과",D128="총무과",D128="인사과"),"직접입력",VLOOKUP(D128,구분표!$A$3:$C$258,3,)))</x:f>
        <x:v/>
      </x:c>
      <x:c r="D128" s="219"/>
      <x:c r="E128" s="213"/>
      <x:c r="F128" s="388" t="str">
        <x:f t="shared" si="94"/>
        <x:v/>
      </x:c>
      <x:c r="G128" s="388" t="str">
        <x:f t="shared" si="94"/>
        <x:v/>
      </x:c>
      <x:c r="H128" s="213"/>
      <x:c r="I128" s="156" t="str">
        <x:f>IF(H128="","",VLOOKUP($H128,구분표!$K$3:$M$151,2,FALSE))</x:f>
        <x:v/>
      </x:c>
      <x:c r="J128" s="156" t="str">
        <x:f>IF(I128="","",VLOOKUP($H128,구분표!$K$3:$M$151,3,FALSE))</x:f>
        <x:v/>
      </x:c>
      <x:c r="K128" s="233"/>
      <x:c r="L128" s="233"/>
      <x:c r="M128" s="459" t="str">
        <x:f t="shared" si="95"/>
        <x:v/>
      </x:c>
      <x:c r="N128" s="459" t="str">
        <x:f t="shared" si="96"/>
        <x:v/>
      </x:c>
      <x:c r="O128" s="461" t="str">
        <x:f t="shared" si="88"/>
        <x:v/>
      </x:c>
      <x:c r="P128" s="460"/>
      <x:c r="Q128" s="461">
        <x:f t="shared" si="89"/>
        <x:v>0</x:v>
      </x:c>
      <x:c r="R128" s="462"/>
      <x:c r="S128" s="463">
        <x:f t="shared" si="90"/>
        <x:v>0</x:v>
      </x:c>
      <x:c r="T128" s="162" t="str">
        <x:f t="shared" si="91"/>
        <x:v>X</x:v>
      </x:c>
      <x:c r="U128" s="220"/>
      <x:c r="V128" s="331"/>
      <x:c r="W128" s="221"/>
      <x:c r="X128" s="222"/>
      <x:c r="Y128" s="220"/>
      <x:c r="Z128" s="222"/>
      <x:c r="AA128" s="220"/>
      <x:c r="AB128" s="20"/>
      <x:c r="AC128" s="487">
        <x:f t="shared" si="92"/>
        <x:v>0</x:v>
      </x:c>
      <x:c r="AD128" s="487">
        <x:f t="shared" si="3"/>
        <x:v>0</x:v>
      </x:c>
      <x:c r="AE128" s="487">
        <x:f t="shared" si="4"/>
        <x:v>0</x:v>
      </x:c>
      <x:c r="AF128" s="374" t="str">
        <x:f t="shared" si="93"/>
        <x:v/>
      </x:c>
      <x:c r="AG128" s="165"/>
      <x:c r="AH128" s="487">
        <x:f t="shared" si="5"/>
        <x:v>0</x:v>
      </x:c>
      <x:c r="AI128" s="487">
        <x:f t="shared" si="6"/>
        <x:v>0</x:v>
      </x:c>
      <x:c r="AJ128" s="487">
        <x:f t="shared" si="7"/>
        <x:v>0</x:v>
      </x:c>
      <x:c r="AK128" s="374" t="str">
        <x:f t="shared" si="8"/>
        <x:v/>
      </x:c>
      <x:c r="AL128" s="8"/>
      <x:c r="AM128" s="533"/>
      <x:c r="AN128" s="374" t="str">
        <x:f>IF($AM128="","",IF($AM128="세입없음","OK",IF(COUNTIF('3. 일입'!$AN$8:$AN$2000,$AM128),"OK","@@")))</x:f>
        <x:v/>
      </x:c>
      <x:c r="AO128" s="356" t="str">
        <x:f t="shared" si="9"/>
        <x:v/>
      </x:c>
      <x:c r="AP128" s="374" t="str">
        <x:f t="shared" si="10"/>
        <x:v/>
      </x:c>
      <x:c r="AQ128" s="93"/>
      <x:c r="AR128" s="374" t="str">
        <x:f t="array" ref="AR128:AR128">IF(OR($D128="",$C128="직접입력",$B128="직접입력"),"",INDEX(구분표!$I$3:$I$321,MATCH(1,(구분표!$G$3:$G$321=$B128)*(구분표!$E$3:$E$321=$C128)*(구분표!$F$3:$F$321=$D128),0)))</x:f>
        <x:v/>
      </x:c>
      <x:c r="AS128" s="21"/>
    </x:row>
    <x:row r="129" spans="1:45" s="20" customFormat="1" ht="60" customHeight="1">
      <x:c r="A129" s="155" t="str">
        <x:f>IF(D129="","",COUNTA($C$7:C129)-COUNTBLANK($C$7:C129)+8)</x:f>
        <x:v/>
      </x:c>
      <x:c r="B129" s="156" t="str">
        <x: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x:f>
        <x:v/>
      </x:c>
      <x:c r="C129" s="156" t="str">
        <x:f>IF(D129="","",IF(OR(D129="교육지원과",D129="총무과",D129="인사과"),"직접입력",VLOOKUP(D129,구분표!$A$3:$C$258,3,)))</x:f>
        <x:v/>
      </x:c>
      <x:c r="D129" s="219"/>
      <x:c r="E129" s="213"/>
      <x:c r="F129" s="388" t="str">
        <x:f t="shared" si="94"/>
        <x:v/>
      </x:c>
      <x:c r="G129" s="388" t="str">
        <x:f t="shared" si="94"/>
        <x:v/>
      </x:c>
      <x:c r="H129" s="213"/>
      <x:c r="I129" s="156" t="str">
        <x:f>IF(H129="","",VLOOKUP($H129,구분표!$K$3:$M$151,2,FALSE))</x:f>
        <x:v/>
      </x:c>
      <x:c r="J129" s="156" t="str">
        <x:f>IF(I129="","",VLOOKUP($H129,구분표!$K$3:$M$151,3,FALSE))</x:f>
        <x:v/>
      </x:c>
      <x:c r="K129" s="233"/>
      <x:c r="L129" s="233"/>
      <x:c r="M129" s="459" t="str">
        <x:f t="shared" si="95"/>
        <x:v/>
      </x:c>
      <x:c r="N129" s="459" t="str">
        <x:f t="shared" si="96"/>
        <x:v/>
      </x:c>
      <x:c r="O129" s="461" t="str">
        <x:f t="shared" si="88"/>
        <x:v/>
      </x:c>
      <x:c r="P129" s="460"/>
      <x:c r="Q129" s="461">
        <x:f t="shared" si="89"/>
        <x:v>0</x:v>
      </x:c>
      <x:c r="R129" s="462"/>
      <x:c r="S129" s="463">
        <x:f t="shared" si="90"/>
        <x:v>0</x:v>
      </x:c>
      <x:c r="T129" s="162" t="str">
        <x:f t="shared" si="91"/>
        <x:v>X</x:v>
      </x:c>
      <x:c r="U129" s="220"/>
      <x:c r="V129" s="331"/>
      <x:c r="W129" s="221"/>
      <x:c r="X129" s="222"/>
      <x:c r="Y129" s="220"/>
      <x:c r="Z129" s="222"/>
      <x:c r="AA129" s="220"/>
      <x:c r="AC129" s="487">
        <x:f t="shared" si="92"/>
        <x:v>0</x:v>
      </x:c>
      <x:c r="AD129" s="487">
        <x:f t="shared" si="3"/>
        <x:v>0</x:v>
      </x:c>
      <x:c r="AE129" s="487">
        <x:f t="shared" si="4"/>
        <x:v>0</x:v>
      </x:c>
      <x:c r="AF129" s="374" t="str">
        <x:f t="shared" si="93"/>
        <x:v/>
      </x:c>
      <x:c r="AG129" s="165"/>
      <x:c r="AH129" s="487">
        <x:f t="shared" si="5"/>
        <x:v>0</x:v>
      </x:c>
      <x:c r="AI129" s="487">
        <x:f t="shared" si="6"/>
        <x:v>0</x:v>
      </x:c>
      <x:c r="AJ129" s="487">
        <x:f t="shared" si="7"/>
        <x:v>0</x:v>
      </x:c>
      <x:c r="AK129" s="374" t="str">
        <x:f t="shared" si="8"/>
        <x:v/>
      </x:c>
      <x:c r="AL129" s="8"/>
      <x:c r="AM129" s="533"/>
      <x:c r="AN129" s="374" t="str">
        <x:f>IF($AM129="","",IF($AM129="세입없음","OK",IF(COUNTIF('3. 일입'!$AN$8:$AN$2000,$AM129),"OK","@@")))</x:f>
        <x:v/>
      </x:c>
      <x:c r="AO129" s="356" t="str">
        <x:f t="shared" si="9"/>
        <x:v/>
      </x:c>
      <x:c r="AP129" s="374" t="str">
        <x:f t="shared" si="10"/>
        <x:v/>
      </x:c>
      <x:c r="AQ129" s="93"/>
      <x:c r="AR129" s="374" t="str">
        <x:f t="array" ref="AR129:AR129">IF(OR($D129="",$C129="직접입력",$B129="직접입력"),"",INDEX(구분표!$I$3:$I$321,MATCH(1,(구분표!$G$3:$G$321=$B129)*(구분표!$E$3:$E$321=$C129)*(구분표!$F$3:$F$321=$D129),0)))</x:f>
        <x:v/>
      </x:c>
      <x:c r="AS129" s="21"/>
    </x:row>
    <x:row r="130" spans="1:45" s="20" customFormat="1" ht="60" customHeight="1">
      <x:c r="A130" s="155" t="str">
        <x:f>IF(D130="","",COUNTA($C$7:C130)-COUNTBLANK($C$7:C130)+8)</x:f>
        <x:v/>
      </x:c>
      <x:c r="B130" s="156" t="str">
        <x: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x:f>
        <x:v/>
      </x:c>
      <x:c r="C130" s="156" t="str">
        <x:f>IF(D130="","",IF(OR(D130="교육지원과",D130="총무과",D130="인사과"),"직접입력",VLOOKUP(D130,구분표!$A$3:$C$258,3,)))</x:f>
        <x:v/>
      </x:c>
      <x:c r="D130" s="219"/>
      <x:c r="E130" s="213"/>
      <x:c r="F130" s="388" t="str">
        <x:f t="shared" si="94"/>
        <x:v/>
      </x:c>
      <x:c r="G130" s="388" t="str">
        <x:f t="shared" si="94"/>
        <x:v/>
      </x:c>
      <x:c r="H130" s="213"/>
      <x:c r="I130" s="156" t="str">
        <x:f>IF(H130="","",VLOOKUP($H130,구분표!$K$3:$M$151,2,FALSE))</x:f>
        <x:v/>
      </x:c>
      <x:c r="J130" s="156" t="str">
        <x:f>IF(I130="","",VLOOKUP($H130,구분표!$K$3:$M$151,3,FALSE))</x:f>
        <x:v/>
      </x:c>
      <x:c r="K130" s="233"/>
      <x:c r="L130" s="233"/>
      <x:c r="M130" s="459" t="str">
        <x:f t="shared" si="95"/>
        <x:v/>
      </x:c>
      <x:c r="N130" s="459" t="str">
        <x:f t="shared" si="96"/>
        <x:v/>
      </x:c>
      <x:c r="O130" s="461" t="str">
        <x:f t="shared" si="88"/>
        <x:v/>
      </x:c>
      <x:c r="P130" s="460"/>
      <x:c r="Q130" s="461">
        <x:f t="shared" si="89"/>
        <x:v>0</x:v>
      </x:c>
      <x:c r="R130" s="462"/>
      <x:c r="S130" s="463">
        <x:f t="shared" si="90"/>
        <x:v>0</x:v>
      </x:c>
      <x:c r="T130" s="162" t="str">
        <x:f t="shared" si="91"/>
        <x:v>X</x:v>
      </x:c>
      <x:c r="U130" s="220"/>
      <x:c r="V130" s="331"/>
      <x:c r="W130" s="221"/>
      <x:c r="X130" s="222"/>
      <x:c r="Y130" s="220"/>
      <x:c r="Z130" s="222"/>
      <x:c r="AA130" s="220"/>
      <x:c r="AC130" s="487">
        <x:f t="shared" si="92"/>
        <x:v>0</x:v>
      </x:c>
      <x:c r="AD130" s="487">
        <x:f t="shared" si="3"/>
        <x:v>0</x:v>
      </x:c>
      <x:c r="AE130" s="487">
        <x:f t="shared" si="4"/>
        <x:v>0</x:v>
      </x:c>
      <x:c r="AF130" s="374" t="str">
        <x:f t="shared" si="93"/>
        <x:v/>
      </x:c>
      <x:c r="AG130" s="165"/>
      <x:c r="AH130" s="487">
        <x:f t="shared" si="5"/>
        <x:v>0</x:v>
      </x:c>
      <x:c r="AI130" s="487">
        <x:f t="shared" si="6"/>
        <x:v>0</x:v>
      </x:c>
      <x:c r="AJ130" s="487">
        <x:f t="shared" si="7"/>
        <x:v>0</x:v>
      </x:c>
      <x:c r="AK130" s="374" t="str">
        <x:f t="shared" si="8"/>
        <x:v/>
      </x:c>
      <x:c r="AL130" s="8"/>
      <x:c r="AM130" s="533"/>
      <x:c r="AN130" s="374" t="str">
        <x:f>IF($AM130="","",IF($AM130="세입없음","OK",IF(COUNTIF('3. 일입'!$AN$8:$AN$2000,$AM130),"OK","@@")))</x:f>
        <x:v/>
      </x:c>
      <x:c r="AO130" s="356" t="str">
        <x:f t="shared" si="9"/>
        <x:v/>
      </x:c>
      <x:c r="AP130" s="374" t="str">
        <x:f t="shared" si="10"/>
        <x:v/>
      </x:c>
      <x:c r="AQ130" s="93"/>
      <x:c r="AR130" s="374" t="str">
        <x:f t="array" ref="AR130:AR130">IF(OR($D130="",$C130="직접입력",$B130="직접입력"),"",INDEX(구분표!$I$3:$I$321,MATCH(1,(구분표!$G$3:$G$321=$B130)*(구분표!$E$3:$E$321=$C130)*(구분표!$F$3:$F$321=$D130),0)))</x:f>
        <x:v/>
      </x:c>
      <x:c r="AS130" s="21"/>
    </x:row>
    <x:row r="131" spans="1:45" s="20" customFormat="1" ht="60" customHeight="1">
      <x:c r="A131" s="155" t="str">
        <x:f>IF(D131="","",COUNTA($C$7:C131)-COUNTBLANK($C$7:C131)+8)</x:f>
        <x:v/>
      </x:c>
      <x:c r="B131" s="156" t="str">
        <x: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x:f>
        <x:v/>
      </x:c>
      <x:c r="C131" s="156" t="str">
        <x:f>IF(D131="","",IF(OR(D131="교육지원과",D131="총무과",D131="인사과"),"직접입력",VLOOKUP(D131,구분표!$A$3:$C$258,3,)))</x:f>
        <x:v/>
      </x:c>
      <x:c r="D131" s="219"/>
      <x:c r="E131" s="213"/>
      <x:c r="F131" s="388" t="str">
        <x:f t="shared" si="94"/>
        <x:v/>
      </x:c>
      <x:c r="G131" s="388" t="str">
        <x:f t="shared" si="94"/>
        <x:v/>
      </x:c>
      <x:c r="H131" s="213"/>
      <x:c r="I131" s="156" t="str">
        <x:f>IF(H131="","",VLOOKUP($H131,구분표!$K$3:$M$151,2,FALSE))</x:f>
        <x:v/>
      </x:c>
      <x:c r="J131" s="156" t="str">
        <x:f>IF(I131="","",VLOOKUP($H131,구분표!$K$3:$M$151,3,FALSE))</x:f>
        <x:v/>
      </x:c>
      <x:c r="K131" s="233"/>
      <x:c r="L131" s="233"/>
      <x:c r="M131" s="459" t="str">
        <x:f t="shared" si="95"/>
        <x:v/>
      </x:c>
      <x:c r="N131" s="459" t="str">
        <x:f t="shared" si="96"/>
        <x:v/>
      </x:c>
      <x:c r="O131" s="461" t="str">
        <x:f t="shared" si="88"/>
        <x:v/>
      </x:c>
      <x:c r="P131" s="460"/>
      <x:c r="Q131" s="461">
        <x:f t="shared" si="89"/>
        <x:v>0</x:v>
      </x:c>
      <x:c r="R131" s="462"/>
      <x:c r="S131" s="463">
        <x:f t="shared" si="90"/>
        <x:v>0</x:v>
      </x:c>
      <x:c r="T131" s="162" t="str">
        <x:f t="shared" si="91"/>
        <x:v>X</x:v>
      </x:c>
      <x:c r="U131" s="220"/>
      <x:c r="V131" s="331"/>
      <x:c r="W131" s="221"/>
      <x:c r="X131" s="222"/>
      <x:c r="Y131" s="220"/>
      <x:c r="Z131" s="222"/>
      <x:c r="AA131" s="220"/>
      <x:c r="AC131" s="487">
        <x:f t="shared" si="92"/>
        <x:v>0</x:v>
      </x:c>
      <x:c r="AD131" s="487">
        <x:f t="shared" si="3"/>
        <x:v>0</x:v>
      </x:c>
      <x:c r="AE131" s="487">
        <x:f t="shared" si="4"/>
        <x:v>0</x:v>
      </x:c>
      <x:c r="AF131" s="374" t="str">
        <x:f t="shared" si="93"/>
        <x:v/>
      </x:c>
      <x:c r="AG131" s="165"/>
      <x:c r="AH131" s="487">
        <x:f t="shared" si="5"/>
        <x:v>0</x:v>
      </x:c>
      <x:c r="AI131" s="487">
        <x:f t="shared" si="6"/>
        <x:v>0</x:v>
      </x:c>
      <x:c r="AJ131" s="487">
        <x:f t="shared" si="7"/>
        <x:v>0</x:v>
      </x:c>
      <x:c r="AK131" s="374" t="str">
        <x:f t="shared" si="8"/>
        <x:v/>
      </x:c>
      <x:c r="AL131" s="8"/>
      <x:c r="AM131" s="533"/>
      <x:c r="AN131" s="374" t="str">
        <x:f>IF($AM131="","",IF($AM131="세입없음","OK",IF(COUNTIF('3. 일입'!$AN$8:$AN$2000,$AM131),"OK","@@")))</x:f>
        <x:v/>
      </x:c>
      <x:c r="AO131" s="356" t="str">
        <x:f t="shared" si="9"/>
        <x:v/>
      </x:c>
      <x:c r="AP131" s="374" t="str">
        <x:f t="shared" si="10"/>
        <x:v/>
      </x:c>
      <x:c r="AQ131" s="93"/>
      <x:c r="AR131" s="374" t="str">
        <x:f t="array" ref="AR131:AR131">IF(OR($D131="",$C131="직접입력",$B131="직접입력"),"",INDEX(구분표!$I$3:$I$321,MATCH(1,(구분표!$G$3:$G$321=$B131)*(구분표!$E$3:$E$321=$C131)*(구분표!$F$3:$F$321=$D131),0)))</x:f>
        <x:v/>
      </x:c>
      <x:c r="AS131" s="21"/>
    </x:row>
    <x:row r="132" spans="1:45" s="20" customFormat="1" ht="60" customHeight="1">
      <x:c r="A132" s="155" t="str">
        <x:f>IF(D132="","",COUNTA($C$7:C132)-COUNTBLANK($C$7:C132)+8)</x:f>
        <x:v/>
      </x:c>
      <x:c r="B132" s="156" t="str">
        <x: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x:f>
        <x:v/>
      </x:c>
      <x:c r="C132" s="156" t="str">
        <x:f>IF(D132="","",IF(OR(D132="교육지원과",D132="총무과",D132="인사과"),"직접입력",VLOOKUP(D132,구분표!$A$3:$C$258,3,)))</x:f>
        <x:v/>
      </x:c>
      <x:c r="D132" s="219"/>
      <x:c r="E132" s="213"/>
      <x:c r="F132" s="388" t="str">
        <x:f t="shared" si="94"/>
        <x:v/>
      </x:c>
      <x:c r="G132" s="388" t="str">
        <x:f t="shared" si="94"/>
        <x:v/>
      </x:c>
      <x:c r="H132" s="213"/>
      <x:c r="I132" s="156" t="str">
        <x:f>IF(H132="","",VLOOKUP($H132,구분표!$K$3:$M$151,2,FALSE))</x:f>
        <x:v/>
      </x:c>
      <x:c r="J132" s="156" t="str">
        <x:f>IF(I132="","",VLOOKUP($H132,구분표!$K$3:$M$151,3,FALSE))</x:f>
        <x:v/>
      </x:c>
      <x:c r="K132" s="233"/>
      <x:c r="L132" s="233"/>
      <x:c r="M132" s="459" t="str">
        <x:f t="shared" si="95"/>
        <x:v/>
      </x:c>
      <x:c r="N132" s="459" t="str">
        <x:f t="shared" si="96"/>
        <x:v/>
      </x:c>
      <x:c r="O132" s="461" t="str">
        <x:f t="shared" si="88"/>
        <x:v/>
      </x:c>
      <x:c r="P132" s="460"/>
      <x:c r="Q132" s="461">
        <x:f t="shared" si="89"/>
        <x:v>0</x:v>
      </x:c>
      <x:c r="R132" s="462"/>
      <x:c r="S132" s="463">
        <x:f t="shared" si="90"/>
        <x:v>0</x:v>
      </x:c>
      <x:c r="T132" s="162" t="str">
        <x:f t="shared" si="91"/>
        <x:v>X</x:v>
      </x:c>
      <x:c r="U132" s="220"/>
      <x:c r="V132" s="331"/>
      <x:c r="W132" s="221"/>
      <x:c r="X132" s="222"/>
      <x:c r="Y132" s="220"/>
      <x:c r="Z132" s="222"/>
      <x:c r="AA132" s="220"/>
      <x:c r="AC132" s="487">
        <x:f t="shared" si="92"/>
        <x:v>0</x:v>
      </x:c>
      <x:c r="AD132" s="487">
        <x:f t="shared" si="3"/>
        <x:v>0</x:v>
      </x:c>
      <x:c r="AE132" s="487">
        <x:f t="shared" si="4"/>
        <x:v>0</x:v>
      </x:c>
      <x:c r="AF132" s="374" t="str">
        <x:f t="shared" si="93"/>
        <x:v/>
      </x:c>
      <x:c r="AG132" s="165"/>
      <x:c r="AH132" s="487">
        <x:f t="shared" si="5"/>
        <x:v>0</x:v>
      </x:c>
      <x:c r="AI132" s="487">
        <x:f t="shared" si="6"/>
        <x:v>0</x:v>
      </x:c>
      <x:c r="AJ132" s="487">
        <x:f t="shared" si="7"/>
        <x:v>0</x:v>
      </x:c>
      <x:c r="AK132" s="374" t="str">
        <x:f t="shared" si="8"/>
        <x:v/>
      </x:c>
      <x:c r="AL132" s="8"/>
      <x:c r="AM132" s="533"/>
      <x:c r="AN132" s="374" t="str">
        <x:f>IF($AM132="","",IF($AM132="세입없음","OK",IF(COUNTIF('3. 일입'!$AN$8:$AN$2000,$AM132),"OK","@@")))</x:f>
        <x:v/>
      </x:c>
      <x:c r="AO132" s="356" t="str">
        <x:f t="shared" si="9"/>
        <x:v/>
      </x:c>
      <x:c r="AP132" s="374" t="str">
        <x:f t="shared" si="10"/>
        <x:v/>
      </x:c>
      <x:c r="AQ132" s="93"/>
      <x:c r="AR132" s="374" t="str">
        <x:f t="array" ref="AR132:AR132">IF(OR($D132="",$C132="직접입력",$B132="직접입력"),"",INDEX(구분표!$I$3:$I$321,MATCH(1,(구분표!$G$3:$G$321=$B132)*(구분표!$E$3:$E$321=$C132)*(구분표!$F$3:$F$321=$D132),0)))</x:f>
        <x:v/>
      </x:c>
      <x:c r="AS132" s="21"/>
    </x:row>
    <x:row r="133" spans="1:45" s="157" customFormat="1" ht="60" customHeight="1">
      <x:c r="A133" s="155" t="str">
        <x:f>IF(D133="","",COUNTA($C$7:C133)-COUNTBLANK($C$7:C133)+8)</x:f>
        <x:v/>
      </x:c>
      <x:c r="B133" s="156" t="str">
        <x: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x:f>
        <x:v/>
      </x:c>
      <x:c r="C133" s="156" t="str">
        <x:f>IF(D133="","",IF(OR(D133="교육지원과",D133="총무과",D133="인사과"),"직접입력",VLOOKUP(D133,구분표!$A$3:$C$258,3,)))</x:f>
        <x:v/>
      </x:c>
      <x:c r="D133" s="219"/>
      <x:c r="E133" s="213"/>
      <x:c r="F133" s="388" t="str">
        <x:f t="shared" si="94"/>
        <x:v/>
      </x:c>
      <x:c r="G133" s="388" t="str">
        <x:f t="shared" si="94"/>
        <x:v/>
      </x:c>
      <x:c r="H133" s="213"/>
      <x:c r="I133" s="156" t="str">
        <x:f>IF(H133="","",VLOOKUP($H133,구분표!$K$3:$M$151,2,FALSE))</x:f>
        <x:v/>
      </x:c>
      <x:c r="J133" s="156" t="str">
        <x:f>IF(I133="","",VLOOKUP($H133,구분표!$K$3:$M$151,3,FALSE))</x:f>
        <x:v/>
      </x:c>
      <x:c r="K133" s="233"/>
      <x:c r="L133" s="233"/>
      <x:c r="M133" s="459" t="str">
        <x:f t="shared" si="95"/>
        <x:v/>
      </x:c>
      <x:c r="N133" s="459" t="str">
        <x:f t="shared" si="96"/>
        <x:v/>
      </x:c>
      <x:c r="O133" s="461" t="str">
        <x:f t="shared" si="88"/>
        <x:v/>
      </x:c>
      <x:c r="P133" s="460"/>
      <x:c r="Q133" s="461">
        <x:f t="shared" si="89"/>
        <x:v>0</x:v>
      </x:c>
      <x:c r="R133" s="462"/>
      <x:c r="S133" s="463">
        <x:f t="shared" si="90"/>
        <x:v>0</x:v>
      </x:c>
      <x:c r="T133" s="162" t="str">
        <x:f t="shared" si="91"/>
        <x:v>X</x:v>
      </x:c>
      <x:c r="U133" s="220"/>
      <x:c r="V133" s="331"/>
      <x:c r="W133" s="221"/>
      <x:c r="X133" s="222"/>
      <x:c r="Y133" s="220"/>
      <x:c r="Z133" s="222"/>
      <x:c r="AA133" s="220"/>
      <x:c r="AB133" s="20"/>
      <x:c r="AC133" s="487">
        <x:f t="shared" si="92"/>
        <x:v>0</x:v>
      </x:c>
      <x:c r="AD133" s="487">
        <x:f t="shared" si="3"/>
        <x:v>0</x:v>
      </x:c>
      <x:c r="AE133" s="487">
        <x:f t="shared" si="4"/>
        <x:v>0</x:v>
      </x:c>
      <x:c r="AF133" s="374" t="str">
        <x:f t="shared" si="93"/>
        <x:v/>
      </x:c>
      <x:c r="AG133" s="165"/>
      <x:c r="AH133" s="487">
        <x:f t="shared" si="5"/>
        <x:v>0</x:v>
      </x:c>
      <x:c r="AI133" s="487">
        <x:f t="shared" si="6"/>
        <x:v>0</x:v>
      </x:c>
      <x:c r="AJ133" s="487">
        <x:f t="shared" si="7"/>
        <x:v>0</x:v>
      </x:c>
      <x:c r="AK133" s="374" t="str">
        <x:f t="shared" si="8"/>
        <x:v/>
      </x:c>
      <x:c r="AL133" s="8"/>
      <x:c r="AM133" s="533"/>
      <x:c r="AN133" s="374" t="str">
        <x:f>IF($AM133="","",IF($AM133="세입없음","OK",IF(COUNTIF('3. 일입'!$AN$8:$AN$2000,$AM133),"OK","@@")))</x:f>
        <x:v/>
      </x:c>
      <x:c r="AO133" s="356" t="str">
        <x:f t="shared" si="9"/>
        <x:v/>
      </x:c>
      <x:c r="AP133" s="374" t="str">
        <x:f t="shared" si="10"/>
        <x:v/>
      </x:c>
      <x:c r="AQ133" s="93"/>
      <x:c r="AR133" s="374" t="str">
        <x:f t="array" ref="AR133:AR133">IF(OR($D133="",$C133="직접입력",$B133="직접입력"),"",INDEX(구분표!$I$3:$I$321,MATCH(1,(구분표!$G$3:$G$321=$B133)*(구분표!$E$3:$E$321=$C133)*(구분표!$F$3:$F$321=$D133),0)))</x:f>
        <x:v/>
      </x:c>
      <x:c r="AS133" s="21"/>
    </x:row>
    <x:row r="134" spans="1:45" s="20" customFormat="1" ht="60" customHeight="1">
      <x:c r="A134" s="155" t="str">
        <x:f>IF(D134="","",COUNTA($C$7:C134)-COUNTBLANK($C$7:C134)+8)</x:f>
        <x:v/>
      </x:c>
      <x:c r="B134" s="156" t="str">
        <x: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x:f>
        <x:v/>
      </x:c>
      <x:c r="C134" s="156" t="str">
        <x:f>IF(D134="","",IF(OR(D134="교육지원과",D134="총무과",D134="인사과"),"직접입력",VLOOKUP(D134,구분표!$A$3:$C$258,3,)))</x:f>
        <x:v/>
      </x:c>
      <x:c r="D134" s="219"/>
      <x:c r="E134" s="213"/>
      <x:c r="F134" s="388" t="str">
        <x:f t="shared" si="94"/>
        <x:v/>
      </x:c>
      <x:c r="G134" s="388" t="str">
        <x:f t="shared" si="94"/>
        <x:v/>
      </x:c>
      <x:c r="H134" s="213"/>
      <x:c r="I134" s="156" t="str">
        <x:f>IF(H134="","",VLOOKUP($H134,구분표!$K$3:$M$151,2,FALSE))</x:f>
        <x:v/>
      </x:c>
      <x:c r="J134" s="156" t="str">
        <x:f>IF(I134="","",VLOOKUP($H134,구분표!$K$3:$M$151,3,FALSE))</x:f>
        <x:v/>
      </x:c>
      <x:c r="K134" s="233"/>
      <x:c r="L134" s="233"/>
      <x:c r="M134" s="459" t="str">
        <x:f t="shared" si="95"/>
        <x:v/>
      </x:c>
      <x:c r="N134" s="459" t="str">
        <x:f t="shared" si="96"/>
        <x:v/>
      </x:c>
      <x:c r="O134" s="461" t="str">
        <x:f t="shared" si="88"/>
        <x:v/>
      </x:c>
      <x:c r="P134" s="460"/>
      <x:c r="Q134" s="461">
        <x:f t="shared" si="89"/>
        <x:v>0</x:v>
      </x:c>
      <x:c r="R134" s="462"/>
      <x:c r="S134" s="463">
        <x:f t="shared" si="90"/>
        <x:v>0</x:v>
      </x:c>
      <x:c r="T134" s="162" t="str">
        <x:f t="shared" si="91"/>
        <x:v>X</x:v>
      </x:c>
      <x:c r="U134" s="220"/>
      <x:c r="V134" s="331"/>
      <x:c r="W134" s="221"/>
      <x:c r="X134" s="222"/>
      <x:c r="Y134" s="220"/>
      <x:c r="Z134" s="222"/>
      <x:c r="AA134" s="220"/>
      <x:c r="AC134" s="487">
        <x:f t="shared" si="92"/>
        <x:v>0</x:v>
      </x:c>
      <x:c r="AD134" s="487">
        <x:f t="shared" si="3"/>
        <x:v>0</x:v>
      </x:c>
      <x:c r="AE134" s="487">
        <x:f t="shared" si="4"/>
        <x:v>0</x:v>
      </x:c>
      <x:c r="AF134" s="374" t="str">
        <x:f t="shared" si="93"/>
        <x:v/>
      </x:c>
      <x:c r="AG134" s="165"/>
      <x:c r="AH134" s="487">
        <x:f t="shared" si="5"/>
        <x:v>0</x:v>
      </x:c>
      <x:c r="AI134" s="487">
        <x:f t="shared" si="6"/>
        <x:v>0</x:v>
      </x:c>
      <x:c r="AJ134" s="487">
        <x:f t="shared" si="7"/>
        <x:v>0</x:v>
      </x:c>
      <x:c r="AK134" s="374" t="str">
        <x:f t="shared" si="8"/>
        <x:v/>
      </x:c>
      <x:c r="AL134" s="8"/>
      <x:c r="AM134" s="533"/>
      <x:c r="AN134" s="374" t="str">
        <x:f>IF($AM134="","",IF($AM134="세입없음","OK",IF(COUNTIF('3. 일입'!$AN$8:$AN$2000,$AM134),"OK","@@")))</x:f>
        <x:v/>
      </x:c>
      <x:c r="AO134" s="356" t="str">
        <x:f t="shared" si="9"/>
        <x:v/>
      </x:c>
      <x:c r="AP134" s="374" t="str">
        <x:f t="shared" si="10"/>
        <x:v/>
      </x:c>
      <x:c r="AQ134" s="93"/>
      <x:c r="AR134" s="374" t="str">
        <x:f t="array" ref="AR134:AR134">IF(OR($D134="",$C134="직접입력",$B134="직접입력"),"",INDEX(구분표!$I$3:$I$321,MATCH(1,(구분표!$G$3:$G$321=$B134)*(구분표!$E$3:$E$321=$C134)*(구분표!$F$3:$F$321=$D134),0)))</x:f>
        <x:v/>
      </x:c>
      <x:c r="AS134" s="21"/>
    </x:row>
    <x:row r="135" spans="1:45" s="336" customFormat="1" ht="60" customHeight="1">
      <x:c r="A135" s="335"/>
      <x:c r="B135" s="979" t="s">
        <x:v>1531</x:v>
      </x:c>
      <x:c r="C135" s="979"/>
      <x:c r="D135" s="979"/>
      <x:c r="E135" s="979"/>
      <x:c r="F135" s="979"/>
      <x:c r="G135" s="979"/>
      <x:c r="H135" s="243"/>
      <x:c r="I135" s="358"/>
      <x:c r="J135" s="358"/>
      <x:c r="K135" s="418"/>
      <x:c r="L135" s="419" t="str">
        <x:f>SUBTOTAL(3,L136:L150)&amp;"건"</x:f>
        <x:v>12건</x:v>
      </x:c>
      <x:c r="M135" s="476">
        <x:f t="shared" ref="M135:N135" si="97">SUBTOTAL(9,M136:M150)</x:f>
        <x:v>28885179</x:v>
      </x:c>
      <x:c r="N135" s="476">
        <x:f t="shared" si="97"/>
        <x:v>-10090243</x:v>
      </x:c>
      <x:c r="O135" s="476">
        <x:f t="shared" ref="O135:S135" si="98">SUBTOTAL(9,O136:O150)</x:f>
        <x:v>18794936</x:v>
      </x:c>
      <x:c r="P135" s="476">
        <x:f t="shared" si="98"/>
        <x:v>5856907</x:v>
      </x:c>
      <x:c r="Q135" s="476">
        <x:f t="shared" si="98"/>
        <x:v>24651843</x:v>
      </x:c>
      <x:c r="R135" s="476">
        <x:f t="shared" si="98"/>
        <x:v>0</x:v>
      </x:c>
      <x:c r="S135" s="476">
        <x:f t="shared" si="98"/>
        <x:v>18794936</x:v>
      </x:c>
      <x:c r="T135" s="416"/>
      <x:c r="U135" s="420"/>
      <x:c r="V135" s="420"/>
      <x:c r="W135" s="186"/>
      <x:c r="X135" s="186"/>
      <x:c r="Y135" s="186"/>
      <x:c r="Z135" s="187"/>
      <x:c r="AA135" s="186"/>
      <x:c r="AC135" s="481">
        <x:f>SUBTOTAL(9,AC136:AC150)</x:f>
        <x:v>6321027</x:v>
      </x:c>
      <x:c r="AD135" s="481">
        <x:f>SUBTOTAL(9,AD136:AD150)</x:f>
        <x:v>-464120</x:v>
      </x:c>
      <x:c r="AE135" s="481">
        <x:f>SUBTOTAL(9,AE136:AE150)</x:f>
        <x:v>0</x:v>
      </x:c>
      <x:c r="AF135" s="554" t="str">
        <x:f>IF(COUNTIF(AF136:AF150,"@@")&gt;0,"@@","OK")</x:f>
        <x:v>OK</x:v>
      </x:c>
      <x:c r="AG135" s="165"/>
      <x:c r="AH135" s="481">
        <x:f>SUBTOTAL(9,AH136:AH150)</x:f>
        <x:v>0</x:v>
      </x:c>
      <x:c r="AI135" s="481">
        <x:f>SUBTOTAL(9,AI136:AI150)</x:f>
        <x:v>0</x:v>
      </x:c>
      <x:c r="AJ135" s="481">
        <x:f>SUBTOTAL(9,AJ136:AJ150)</x:f>
        <x:v>0</x:v>
      </x:c>
      <x:c r="AK135" s="554" t="str">
        <x:f>IF(COUNTIF(AK136:AK150,"@@")&gt;0,"@@","OK")</x:f>
        <x:v>OK</x:v>
      </x:c>
      <x:c r="AL135" s="165"/>
      <x:c r="AM135" s="422"/>
      <x:c r="AN135" s="554" t="str">
        <x:f>IF(COUNTIF(AN136:AN150,"@@")&gt;0,"@@","OK")</x:f>
        <x:v>OK</x:v>
      </x:c>
      <x:c r="AO135" s="422"/>
      <x:c r="AP135" s="554" t="str">
        <x:f>IF(COUNTIF(AP136:AP150,"@@")&gt;0,"@@","OK")</x:f>
        <x:v>OK</x:v>
      </x:c>
      <x:c r="AQ135" s="164"/>
      <x:c r="AR135" s="422"/>
      <x:c r="AS135" s="21"/>
    </x:row>
    <x:row r="136" spans="1:45" s="20" customFormat="1" ht="60" customHeight="1">
      <x:c r="A136" s="155">
        <x:f>IF(D136="","",COUNTA($C$7:C136)-COUNTBLANK($C$7:C136)+9)</x:f>
        <x:v>1</x:v>
      </x:c>
      <x:c r="B136" s="156" t="str">
        <x: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x:f>
        <x:v>도시환경위원회</x:v>
      </x:c>
      <x:c r="C136" s="156" t="str">
        <x:f>IF(D136="","",IF(OR(D136="교육지원과",D136="총무과",D136="인사과"),"직접입력",VLOOKUP(D136,구분표!$A$3:$C$258,3,)))</x:f>
        <x:v>도시주택실</x:v>
      </x:c>
      <x:c r="D136" s="219" t="s">
        <x:v>915</x:v>
      </x:c>
      <x:c r="E136" s="213" t="s">
        <x:v>414</x:v>
      </x:c>
      <x:c r="F136" s="388">
        <x:v>928</x:v>
      </x:c>
      <x:c r="G136" s="388">
        <x:v>49</x:v>
      </x:c>
      <x:c r="H136" s="213" t="s">
        <x:v>537</x:v>
      </x:c>
      <x:c r="I136" s="156" t="str">
        <x:f>IF(H136="","",VLOOKUP($H136,구분표!$K$3:$M$151,2,FALSE))</x:f>
        <x:v>일반운영비</x:v>
      </x:c>
      <x:c r="J136" s="156" t="str">
        <x:f>IF(I136="","",VLOOKUP($H136,구분표!$K$3:$M$151,3,FALSE))</x:f>
        <x:v>사무관리비</x:v>
      </x:c>
      <x:c r="K136" s="233" t="s">
        <x:v>1430</x:v>
      </x:c>
      <x:c r="L136" s="233" t="s">
        <x:v>1308</x:v>
      </x:c>
      <x:c r="M136" s="459">
        <x:v>120800</x:v>
      </x:c>
      <x:c r="N136" s="459">
        <x:v>-34295</x:v>
      </x:c>
      <x:c r="O136" s="461">
        <x:f t="shared" ref="O136:O150" si="99">IF($E136="","",SUM(M136:N136))</x:f>
        <x:v>86505</x:v>
      </x:c>
      <x:c r="P136" s="460">
        <x:v>34295</x:v>
      </x:c>
      <x:c r="Q136" s="461">
        <x:f t="shared" ref="Q136:Q150" si="100">SUM(O136:P136)</x:f>
        <x:v>120800</x:v>
      </x:c>
      <x:c r="R136" s="462"/>
      <x:c r="S136" s="463">
        <x:f t="shared" ref="S136:S150" si="101">SUM(O136,R136)</x:f>
        <x:v>86505</x:v>
      </x:c>
      <x:c r="T136" s="162" t="str">
        <x:f t="shared" ref="T136:T150" si="102">IF(AND((Q136=0),(S136&gt;0)),"O",IF(AND((P136&lt;0),(Q136-S136&lt;0)),"O","X"))</x:f>
        <x:v>X</x:v>
      </x:c>
      <x:c r="U136" s="220"/>
      <x:c r="V136" s="331"/>
      <x:c r="W136" s="221"/>
      <x:c r="X136" s="222"/>
      <x:c r="Y136" s="220"/>
      <x:c r="Z136" s="222"/>
      <x:c r="AA136" s="220"/>
      <x:c r="AC136" s="487">
        <x:f t="shared" ref="AC136:AC150" si="103">IF($P136="",0,IF(AND(ISNUMBER(AD136),ISNUMBER(AE136)),$P136-$AD136-$AE136,0))</x:f>
        <x:v>34295</x:v>
      </x:c>
      <x:c r="AD136" s="487">
        <x:f t="shared" si="3"/>
        <x:v>0</x:v>
      </x:c>
      <x:c r="AE136" s="487">
        <x:f t="shared" si="4"/>
        <x:v>0</x:v>
      </x:c>
      <x:c r="AF136" s="374" t="str">
        <x:f t="shared" ref="AF136:AF150" si="104">IF($P136="",IF(SUM($AC136:$AE136)=0,"","@@"),IF(AND($P136=SUM($AC136:$AE136),Q136&gt;=0),"OK","@@"))</x:f>
        <x:v>OK</x:v>
      </x:c>
      <x:c r="AG136" s="165"/>
      <x:c r="AH136" s="487">
        <x:f t="shared" si="5"/>
        <x:v>0</x:v>
      </x:c>
      <x:c r="AI136" s="487">
        <x:f t="shared" si="6"/>
        <x:v>0</x:v>
      </x:c>
      <x:c r="AJ136" s="487">
        <x:f t="shared" si="7"/>
        <x:v>0</x:v>
      </x:c>
      <x:c r="AK136" s="374" t="str">
        <x:f t="shared" si="8"/>
        <x:v/>
      </x:c>
      <x:c r="AL136" s="8"/>
      <x:c r="AM136" s="533"/>
      <x:c r="AN136" s="374" t="str">
        <x:f>IF($AM136="","",IF($AM136="세입없음","OK",IF(COUNTIF('3. 일입'!$AN$8:$AN$2000,$AM136),"OK","@@")))</x:f>
        <x:v/>
      </x:c>
      <x:c r="AO136" s="356" t="str">
        <x:f t="shared" si="9"/>
        <x:v>자체</x:v>
      </x:c>
      <x:c r="AP136" s="374" t="str">
        <x:f t="shared" si="10"/>
        <x:v>OK</x:v>
      </x:c>
      <x:c r="AQ136" s="93"/>
      <x:c r="AR136" s="374" t="str">
        <x:f t="array" ref="AR136:AR136">IF(OR($D136="",$C136="직접입력",$B136="직접입력"),"",INDEX(구분표!$I$3:$I$321,MATCH(1,(구분표!$G$3:$G$321=$B136)*(구분표!$E$3:$E$321=$C136)*(구분표!$F$3:$F$321=$D136),0)))</x:f>
        <x:v>10703</x:v>
      </x:c>
      <x:c r="AS136" s="21"/>
    </x:row>
    <x:row r="137" spans="1:45" s="20" customFormat="1" ht="60" customHeight="1">
      <x:c r="A137" s="155">
        <x:f>IF(D137="","",COUNTA($C$7:C137)-COUNTBLANK($C$7:C137)+9)</x:f>
        <x:v>2</x:v>
      </x:c>
      <x:c r="B137" s="156" t="str">
        <x: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x:f>
        <x:v>도시환경위원회</x:v>
      </x:c>
      <x:c r="C137" s="156" t="str">
        <x:f>IF(D137="","",IF(OR(D137="교육지원과",D137="총무과",D137="인사과"),"직접입력",VLOOKUP(D137,구분표!$A$3:$C$258,3,)))</x:f>
        <x:v>도시주택실</x:v>
      </x:c>
      <x:c r="D137" s="219" t="s">
        <x:v>909</x:v>
      </x:c>
      <x:c r="E137" s="213" t="s">
        <x:v>414</x:v>
      </x:c>
      <x:c r="F137" s="388">
        <x:v>931</x:v>
      </x:c>
      <x:c r="G137" s="388">
        <x:v>90</x:v>
      </x:c>
      <x:c r="H137" s="213" t="s">
        <x:v>657</x:v>
      </x:c>
      <x:c r="I137" s="156" t="str">
        <x:f>IF(H137="","",VLOOKUP($H137,구분표!$K$3:$M$151,2,FALSE))</x:f>
        <x:v>자치단체등 자본이전</x:v>
      </x:c>
      <x:c r="J137" s="156" t="str">
        <x:f>IF(I137="","",VLOOKUP($H137,구분표!$K$3:$M$151,3,FALSE))</x:f>
        <x:v>공기관등에대한자본적위탁사업비</x:v>
      </x:c>
      <x:c r="K137" s="233" t="s">
        <x:v>1696</x:v>
      </x:c>
      <x:c r="L137" s="233" t="s">
        <x:v>1310</x:v>
      </x:c>
      <x:c r="M137" s="459">
        <x:v>765000</x:v>
      </x:c>
      <x:c r="N137" s="459">
        <x:v>-120487</x:v>
      </x:c>
      <x:c r="O137" s="461">
        <x:f t="shared" si="99"/>
        <x:v>644513</x:v>
      </x:c>
      <x:c r="P137" s="460">
        <x:v>120487</x:v>
      </x:c>
      <x:c r="Q137" s="461">
        <x:f t="shared" si="100"/>
        <x:v>765000</x:v>
      </x:c>
      <x:c r="R137" s="462"/>
      <x:c r="S137" s="463">
        <x:f t="shared" si="101"/>
        <x:v>644513</x:v>
      </x:c>
      <x:c r="T137" s="162" t="str">
        <x:f t="shared" si="102"/>
        <x:v>X</x:v>
      </x:c>
      <x:c r="U137" s="220"/>
      <x:c r="V137" s="331"/>
      <x:c r="W137" s="221"/>
      <x:c r="X137" s="222"/>
      <x:c r="Y137" s="220"/>
      <x:c r="Z137" s="222"/>
      <x:c r="AA137" s="220"/>
      <x:c r="AC137" s="487">
        <x:f t="shared" si="103"/>
        <x:v>120487</x:v>
      </x:c>
      <x:c r="AD137" s="487">
        <x:f t="shared" si="3"/>
        <x:v>0</x:v>
      </x:c>
      <x:c r="AE137" s="487">
        <x:f t="shared" si="4"/>
        <x:v>0</x:v>
      </x:c>
      <x:c r="AF137" s="374" t="str">
        <x:f t="shared" si="104"/>
        <x:v>OK</x:v>
      </x:c>
      <x:c r="AG137" s="165"/>
      <x:c r="AH137" s="487">
        <x:f t="shared" si="5"/>
        <x:v>0</x:v>
      </x:c>
      <x:c r="AI137" s="487">
        <x:f t="shared" si="6"/>
        <x:v>0</x:v>
      </x:c>
      <x:c r="AJ137" s="487">
        <x:f t="shared" si="7"/>
        <x:v>0</x:v>
      </x:c>
      <x:c r="AK137" s="374" t="str">
        <x:f t="shared" si="8"/>
        <x:v/>
      </x:c>
      <x:c r="AL137" s="8"/>
      <x:c r="AM137" s="533"/>
      <x:c r="AN137" s="374" t="str">
        <x:f>IF($AM137="","",IF($AM137="세입없음","OK",IF(COUNTIF('3. 일입'!$AN$8:$AN$2000,$AM137),"OK","@@")))</x:f>
        <x:v/>
      </x:c>
      <x:c r="AO137" s="356" t="str">
        <x:f t="shared" si="9"/>
        <x:v>자체</x:v>
      </x:c>
      <x:c r="AP137" s="374" t="str">
        <x:f t="shared" si="10"/>
        <x:v>OK</x:v>
      </x:c>
      <x:c r="AQ137" s="93"/>
      <x:c r="AR137" s="374" t="str">
        <x:f t="array" ref="AR137:AR137">IF(OR($D137="",$C137="직접입력",$B137="직접입력"),"",INDEX(구분표!$I$3:$I$321,MATCH(1,(구분표!$G$3:$G$321=$B137)*(구분표!$E$3:$E$321=$C137)*(구분표!$F$3:$F$321=$D137),0)))</x:f>
        <x:v>10705</x:v>
      </x:c>
      <x:c r="AS137" s="21"/>
    </x:row>
    <x:row r="138" spans="1:45" s="20" customFormat="1" ht="60" customHeight="1">
      <x:c r="A138" s="155">
        <x:f>IF(D138="","",COUNTA($C$7:C138)-COUNTBLANK($C$7:C138)+9)</x:f>
        <x:v>3</x:v>
      </x:c>
      <x:c r="B138" s="156" t="str">
        <x: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x:f>
        <x:v>도시환경위원회</x:v>
      </x:c>
      <x:c r="C138" s="156" t="str">
        <x:f>IF(D138="","",IF(OR(D138="교육지원과",D138="총무과",D138="인사과"),"직접입력",VLOOKUP(D138,구분표!$A$3:$C$258,3,)))</x:f>
        <x:v>도시주택실</x:v>
      </x:c>
      <x:c r="D138" s="219" t="s">
        <x:v>909</x:v>
      </x:c>
      <x:c r="E138" s="213" t="s">
        <x:v>414</x:v>
      </x:c>
      <x:c r="F138" s="388">
        <x:v>932</x:v>
      </x:c>
      <x:c r="G138" s="388">
        <x:v>94</x:v>
      </x:c>
      <x:c r="H138" s="213" t="s">
        <x:v>657</x:v>
      </x:c>
      <x:c r="I138" s="156" t="str">
        <x:f>IF(H138="","",VLOOKUP($H138,구분표!$K$3:$M$151,2,FALSE))</x:f>
        <x:v>자치단체등 자본이전</x:v>
      </x:c>
      <x:c r="J138" s="156" t="str">
        <x:f>IF(I138="","",VLOOKUP($H138,구분표!$K$3:$M$151,3,FALSE))</x:f>
        <x:v>공기관등에대한자본적위탁사업비</x:v>
      </x:c>
      <x:c r="K138" s="233" t="s">
        <x:v>1428</x:v>
      </x:c>
      <x:c r="L138" s="233" t="s">
        <x:v>1610</x:v>
      </x:c>
      <x:c r="M138" s="459">
        <x:v>1892100</x:v>
      </x:c>
      <x:c r="N138" s="459">
        <x:v>-298005</x:v>
      </x:c>
      <x:c r="O138" s="461">
        <x:f t="shared" si="99"/>
        <x:v>1594095</x:v>
      </x:c>
      <x:c r="P138" s="460">
        <x:v>298005</x:v>
      </x:c>
      <x:c r="Q138" s="461">
        <x:f t="shared" si="100"/>
        <x:v>1892100</x:v>
      </x:c>
      <x:c r="R138" s="462"/>
      <x:c r="S138" s="463">
        <x:f t="shared" si="101"/>
        <x:v>1594095</x:v>
      </x:c>
      <x:c r="T138" s="162" t="str">
        <x:f t="shared" si="102"/>
        <x:v>X</x:v>
      </x:c>
      <x:c r="U138" s="220"/>
      <x:c r="V138" s="331"/>
      <x:c r="W138" s="221"/>
      <x:c r="X138" s="222"/>
      <x:c r="Y138" s="220"/>
      <x:c r="Z138" s="222"/>
      <x:c r="AA138" s="220"/>
      <x:c r="AC138" s="487">
        <x:f t="shared" si="103"/>
        <x:v>298005</x:v>
      </x:c>
      <x:c r="AD138" s="487">
        <x:f t="shared" si="3"/>
        <x:v>0</x:v>
      </x:c>
      <x:c r="AE138" s="487">
        <x:f t="shared" si="4"/>
        <x:v>0</x:v>
      </x:c>
      <x:c r="AF138" s="374" t="str">
        <x:f t="shared" si="104"/>
        <x:v>OK</x:v>
      </x:c>
      <x:c r="AG138" s="165"/>
      <x:c r="AH138" s="487">
        <x:f t="shared" si="5"/>
        <x:v>0</x:v>
      </x:c>
      <x:c r="AI138" s="487">
        <x:f t="shared" si="6"/>
        <x:v>0</x:v>
      </x:c>
      <x:c r="AJ138" s="487">
        <x:f t="shared" si="7"/>
        <x:v>0</x:v>
      </x:c>
      <x:c r="AK138" s="374" t="str">
        <x:f t="shared" si="8"/>
        <x:v/>
      </x:c>
      <x:c r="AL138" s="8"/>
      <x:c r="AM138" s="533"/>
      <x:c r="AN138" s="374" t="str">
        <x:f>IF($AM138="","",IF($AM138="세입없음","OK",IF(COUNTIF('3. 일입'!$AN$8:$AN$2000,$AM138),"OK","@@")))</x:f>
        <x:v/>
      </x:c>
      <x:c r="AO138" s="356" t="str">
        <x:f t="shared" si="9"/>
        <x:v>자체</x:v>
      </x:c>
      <x:c r="AP138" s="374" t="str">
        <x:f t="shared" si="10"/>
        <x:v>OK</x:v>
      </x:c>
      <x:c r="AQ138" s="93"/>
      <x:c r="AR138" s="374" t="str">
        <x:f t="array" ref="AR138:AR138">IF(OR($D138="",$C138="직접입력",$B138="직접입력"),"",INDEX(구분표!$I$3:$I$321,MATCH(1,(구분표!$G$3:$G$321=$B138)*(구분표!$E$3:$E$321=$C138)*(구분표!$F$3:$F$321=$D138),0)))</x:f>
        <x:v>10705</x:v>
      </x:c>
      <x:c r="AS138" s="21"/>
    </x:row>
    <x:row r="139" spans="1:45" s="20" customFormat="1" ht="60" customHeight="1">
      <x:c r="A139" s="155">
        <x:f>IF(D139="","",COUNTA($C$7:C139)-COUNTBLANK($C$7:C139)+9)</x:f>
        <x:v>4</x:v>
      </x:c>
      <x:c r="B139" s="156" t="str">
        <x: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x:f>
        <x:v>도시환경위원회</x:v>
      </x:c>
      <x:c r="C139" s="156" t="str">
        <x:f>IF(D139="","",IF(OR(D139="교육지원과",D139="총무과",D139="인사과"),"직접입력",VLOOKUP(D139,구분표!$A$3:$C$258,3,)))</x:f>
        <x:v>도시주택실</x:v>
      </x:c>
      <x:c r="D139" s="219" t="s">
        <x:v>909</x:v>
      </x:c>
      <x:c r="E139" s="213" t="s">
        <x:v>414</x:v>
      </x:c>
      <x:c r="F139" s="388">
        <x:v>932</x:v>
      </x:c>
      <x:c r="G139" s="388">
        <x:v>98</x:v>
      </x:c>
      <x:c r="H139" s="213" t="s">
        <x:v>628</x:v>
      </x:c>
      <x:c r="I139" s="156" t="str">
        <x:f>IF(H139="","",VLOOKUP($H139,구분표!$K$3:$M$151,2,FALSE))</x:f>
        <x:v>민간이전</x:v>
      </x:c>
      <x:c r="J139" s="156" t="str">
        <x:f>IF(I139="","",VLOOKUP($H139,구분표!$K$3:$M$151,3,FALSE))</x:f>
        <x:v>이차보전금</x:v>
      </x:c>
      <x:c r="K139" s="233" t="s">
        <x:v>10</x:v>
      </x:c>
      <x:c r="L139" s="233" t="s">
        <x:v>1922</x:v>
      </x:c>
      <x:c r="M139" s="459">
        <x:v>5000000</x:v>
      </x:c>
      <x:c r="N139" s="459">
        <x:v>-5000000</x:v>
      </x:c>
      <x:c r="O139" s="461">
        <x:f t="shared" si="99"/>
        <x:v>0</x:v>
      </x:c>
      <x:c r="P139" s="460">
        <x:v>3000000</x:v>
      </x:c>
      <x:c r="Q139" s="461">
        <x:f t="shared" si="100"/>
        <x:v>3000000</x:v>
      </x:c>
      <x:c r="R139" s="462"/>
      <x:c r="S139" s="463">
        <x:f t="shared" si="101"/>
        <x:v>0</x:v>
      </x:c>
      <x:c r="T139" s="162" t="str">
        <x:f t="shared" si="102"/>
        <x:v>X</x:v>
      </x:c>
      <x:c r="U139" s="220"/>
      <x:c r="V139" s="331"/>
      <x:c r="W139" s="221"/>
      <x:c r="X139" s="222"/>
      <x:c r="Y139" s="220"/>
      <x:c r="Z139" s="222"/>
      <x:c r="AA139" s="220"/>
      <x:c r="AC139" s="487">
        <x:f t="shared" si="103"/>
        <x:v>3000000</x:v>
      </x:c>
      <x:c r="AD139" s="487">
        <x:f t="shared" si="3"/>
        <x:v>0</x:v>
      </x:c>
      <x:c r="AE139" s="487">
        <x:f t="shared" si="4"/>
        <x:v>0</x:v>
      </x:c>
      <x:c r="AF139" s="374" t="str">
        <x:f t="shared" si="104"/>
        <x:v>OK</x:v>
      </x:c>
      <x:c r="AG139" s="165"/>
      <x:c r="AH139" s="487">
        <x:f t="shared" si="5"/>
        <x:v>0</x:v>
      </x:c>
      <x:c r="AI139" s="487">
        <x:f t="shared" si="6"/>
        <x:v>0</x:v>
      </x:c>
      <x:c r="AJ139" s="487">
        <x:f t="shared" si="7"/>
        <x:v>0</x:v>
      </x:c>
      <x:c r="AK139" s="374" t="str">
        <x:f t="shared" si="8"/>
        <x:v/>
      </x:c>
      <x:c r="AL139" s="8"/>
      <x:c r="AM139" s="533"/>
      <x:c r="AN139" s="374" t="str">
        <x:f>IF($AM139="","",IF($AM139="세입없음","OK",IF(COUNTIF('3. 일입'!$AN$8:$AN$2000,$AM139),"OK","@@")))</x:f>
        <x:v/>
      </x:c>
      <x:c r="AO139" s="356" t="str">
        <x:f t="shared" si="9"/>
        <x:v>자체</x:v>
      </x:c>
      <x:c r="AP139" s="374" t="str">
        <x:f t="shared" si="10"/>
        <x:v>OK</x:v>
      </x:c>
      <x:c r="AQ139" s="93"/>
      <x:c r="AR139" s="374" t="str">
        <x:f t="array" ref="AR139:AR139">IF(OR($D139="",$C139="직접입력",$B139="직접입력"),"",INDEX(구분표!$I$3:$I$321,MATCH(1,(구분표!$G$3:$G$321=$B139)*(구분표!$E$3:$E$321=$C139)*(구분표!$F$3:$F$321=$D139),0)))</x:f>
        <x:v>10705</x:v>
      </x:c>
      <x:c r="AS139" s="21"/>
    </x:row>
    <x:row r="140" spans="1:45" s="20" customFormat="1" ht="60" customHeight="1">
      <x:c r="A140" s="155">
        <x:f>IF(D140="","",COUNTA($C$7:C140)-COUNTBLANK($C$7:C140)+9)</x:f>
        <x:v>5</x:v>
      </x:c>
      <x:c r="B140" s="156" t="str">
        <x: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x:f>
        <x:v>도시환경위원회</x:v>
      </x:c>
      <x:c r="C140" s="156" t="str">
        <x:f>IF(D140="","",IF(OR(D140="교육지원과",D140="총무과",D140="인사과"),"직접입력",VLOOKUP(D140,구분표!$A$3:$C$258,3,)))</x:f>
        <x:v>도시주택실</x:v>
      </x:c>
      <x:c r="D140" s="219" t="s">
        <x:v>909</x:v>
      </x:c>
      <x:c r="E140" s="213" t="s">
        <x:v>414</x:v>
      </x:c>
      <x:c r="F140" s="388">
        <x:v>932</x:v>
      </x:c>
      <x:c r="G140" s="388">
        <x:v>100</x:v>
      </x:c>
      <x:c r="H140" s="213" t="s">
        <x:v>628</x:v>
      </x:c>
      <x:c r="I140" s="156" t="str">
        <x:f>IF(H140="","",VLOOKUP($H140,구분표!$K$3:$M$151,2,FALSE))</x:f>
        <x:v>민간이전</x:v>
      </x:c>
      <x:c r="J140" s="156" t="str">
        <x:f>IF(I140="","",VLOOKUP($H140,구분표!$K$3:$M$151,3,FALSE))</x:f>
        <x:v>이차보전금</x:v>
      </x:c>
      <x:c r="K140" s="233" t="s">
        <x:v>7</x:v>
      </x:c>
      <x:c r="L140" s="233" t="s">
        <x:v>1908</x:v>
      </x:c>
      <x:c r="M140" s="459">
        <x:v>5000000</x:v>
      </x:c>
      <x:c r="N140" s="459">
        <x:v>-5000000</x:v>
      </x:c>
      <x:c r="O140" s="461">
        <x:f t="shared" si="99"/>
        <x:v>0</x:v>
      </x:c>
      <x:c r="P140" s="460">
        <x:v>3000000</x:v>
      </x:c>
      <x:c r="Q140" s="461">
        <x:f t="shared" si="100"/>
        <x:v>3000000</x:v>
      </x:c>
      <x:c r="R140" s="462"/>
      <x:c r="S140" s="463">
        <x:f t="shared" si="101"/>
        <x:v>0</x:v>
      </x:c>
      <x:c r="T140" s="162" t="str">
        <x:f t="shared" si="102"/>
        <x:v>X</x:v>
      </x:c>
      <x:c r="U140" s="220"/>
      <x:c r="V140" s="331"/>
      <x:c r="W140" s="221"/>
      <x:c r="X140" s="222"/>
      <x:c r="Y140" s="220"/>
      <x:c r="Z140" s="222"/>
      <x:c r="AA140" s="220"/>
      <x:c r="AC140" s="487">
        <x:f t="shared" si="103"/>
        <x:v>3000000</x:v>
      </x:c>
      <x:c r="AD140" s="487">
        <x:f t="shared" si="3"/>
        <x:v>0</x:v>
      </x:c>
      <x:c r="AE140" s="487">
        <x:f t="shared" si="4"/>
        <x:v>0</x:v>
      </x:c>
      <x:c r="AF140" s="374" t="str">
        <x:f t="shared" si="104"/>
        <x:v>OK</x:v>
      </x:c>
      <x:c r="AG140" s="165"/>
      <x:c r="AH140" s="487">
        <x:f t="shared" si="5"/>
        <x:v>0</x:v>
      </x:c>
      <x:c r="AI140" s="487">
        <x:f t="shared" si="6"/>
        <x:v>0</x:v>
      </x:c>
      <x:c r="AJ140" s="487">
        <x:f t="shared" si="7"/>
        <x:v>0</x:v>
      </x:c>
      <x:c r="AK140" s="374" t="str">
        <x:f t="shared" si="8"/>
        <x:v/>
      </x:c>
      <x:c r="AL140" s="8"/>
      <x:c r="AM140" s="533"/>
      <x:c r="AN140" s="374" t="str">
        <x:f>IF($AM140="","",IF($AM140="세입없음","OK",IF(COUNTIF('3. 일입'!$AN$8:$AN$2000,$AM140),"OK","@@")))</x:f>
        <x:v/>
      </x:c>
      <x:c r="AO140" s="356" t="str">
        <x:f t="shared" si="9"/>
        <x:v>자체</x:v>
      </x:c>
      <x:c r="AP140" s="374" t="str">
        <x:f t="shared" si="10"/>
        <x:v>OK</x:v>
      </x:c>
      <x:c r="AQ140" s="93"/>
      <x:c r="AR140" s="374" t="str">
        <x:f t="array" ref="AR140:AR140">IF(OR($D140="",$C140="직접입력",$B140="직접입력"),"",INDEX(구분표!$I$3:$I$321,MATCH(1,(구분표!$G$3:$G$321=$B140)*(구분표!$E$3:$E$321=$C140)*(구분표!$F$3:$F$321=$D140),0)))</x:f>
        <x:v>10705</x:v>
      </x:c>
      <x:c r="AS140" s="21"/>
    </x:row>
    <x:row r="141" spans="1:45" s="20" customFormat="1" ht="60" customHeight="1">
      <x:c r="A141" s="155">
        <x:f>IF(D141="","",COUNTA($C$7:C141)-COUNTBLANK($C$7:C141)+9)</x:f>
        <x:v>6</x:v>
      </x:c>
      <x:c r="B141" s="156" t="str">
        <x: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x:f>
        <x:v>도시환경위원회</x:v>
      </x:c>
      <x:c r="C141" s="156" t="str">
        <x:f>IF(D141="","",IF(OR(D141="교육지원과",D141="총무과",D141="인사과"),"직접입력",VLOOKUP(D141,구분표!$A$3:$C$258,3,)))</x:f>
        <x:v>도시주택실</x:v>
      </x:c>
      <x:c r="D141" s="219" t="s">
        <x:v>1035</x:v>
      </x:c>
      <x:c r="E141" s="213" t="s">
        <x:v>414</x:v>
      </x:c>
      <x:c r="F141" s="388">
        <x:v>934</x:v>
      </x:c>
      <x:c r="G141" s="388">
        <x:v>115</x:v>
      </x:c>
      <x:c r="H141" s="213" t="s">
        <x:v>554</x:v>
      </x:c>
      <x:c r="I141" s="156" t="str">
        <x:f>IF(H141="","",VLOOKUP($H141,구분표!$K$3:$M$151,2,FALSE))</x:f>
        <x:v>일반운영비</x:v>
      </x:c>
      <x:c r="J141" s="156" t="str">
        <x:f>IF(I141="","",VLOOKUP($H141,구분표!$K$3:$M$151,3,FALSE))</x:f>
        <x:v>행사운영비</x:v>
      </x:c>
      <x:c r="K141" s="233" t="s">
        <x:v>1689</x:v>
      </x:c>
      <x:c r="L141" s="233" t="s">
        <x:v>1317</x:v>
      </x:c>
      <x:c r="M141" s="459">
        <x:v>155200</x:v>
      </x:c>
      <x:c r="N141" s="459">
        <x:v>-27000</x:v>
      </x:c>
      <x:c r="O141" s="461">
        <x:f t="shared" si="99"/>
        <x:v>128200</x:v>
      </x:c>
      <x:c r="P141" s="460">
        <x:v>27000</x:v>
      </x:c>
      <x:c r="Q141" s="461">
        <x:f t="shared" si="100"/>
        <x:v>155200</x:v>
      </x:c>
      <x:c r="R141" s="462"/>
      <x:c r="S141" s="463">
        <x:f t="shared" si="101"/>
        <x:v>128200</x:v>
      </x:c>
      <x:c r="T141" s="162" t="str">
        <x:f t="shared" si="102"/>
        <x:v>X</x:v>
      </x:c>
      <x:c r="U141" s="220"/>
      <x:c r="V141" s="331"/>
      <x:c r="W141" s="221"/>
      <x:c r="X141" s="222"/>
      <x:c r="Y141" s="220"/>
      <x:c r="Z141" s="222"/>
      <x:c r="AA141" s="220"/>
      <x:c r="AC141" s="487">
        <x:f t="shared" si="103"/>
        <x:v>27000</x:v>
      </x:c>
      <x:c r="AD141" s="487">
        <x:f t="shared" si="3"/>
        <x:v>0</x:v>
      </x:c>
      <x:c r="AE141" s="487">
        <x:f t="shared" si="4"/>
        <x:v>0</x:v>
      </x:c>
      <x:c r="AF141" s="374" t="str">
        <x:f t="shared" si="104"/>
        <x:v>OK</x:v>
      </x:c>
      <x:c r="AG141" s="165"/>
      <x:c r="AH141" s="487">
        <x:f t="shared" si="5"/>
        <x:v>0</x:v>
      </x:c>
      <x:c r="AI141" s="487">
        <x:f t="shared" si="6"/>
        <x:v>0</x:v>
      </x:c>
      <x:c r="AJ141" s="487">
        <x:f t="shared" si="7"/>
        <x:v>0</x:v>
      </x:c>
      <x:c r="AK141" s="374" t="str">
        <x:f t="shared" si="8"/>
        <x:v/>
      </x:c>
      <x:c r="AL141" s="8"/>
      <x:c r="AM141" s="533"/>
      <x:c r="AN141" s="374" t="str">
        <x:f>IF($AM141="","",IF($AM141="세입없음","OK",IF(COUNTIF('3. 일입'!$AN$8:$AN$2000,$AM141),"OK","@@")))</x:f>
        <x:v/>
      </x:c>
      <x:c r="AO141" s="356" t="str">
        <x:f t="shared" si="9"/>
        <x:v>자체</x:v>
      </x:c>
      <x:c r="AP141" s="374" t="str">
        <x:f t="shared" si="10"/>
        <x:v>OK</x:v>
      </x:c>
      <x:c r="AQ141" s="93"/>
      <x:c r="AR141" s="374" t="str">
        <x:f t="array" ref="AR141:AR141">IF(OR($D141="",$C141="직접입력",$B141="직접입력"),"",INDEX(구분표!$I$3:$I$321,MATCH(1,(구분표!$G$3:$G$321=$B141)*(구분표!$E$3:$E$321=$C141)*(구분표!$F$3:$F$321=$D141),0)))</x:f>
        <x:v>10706</x:v>
      </x:c>
      <x:c r="AS141" s="21"/>
    </x:row>
    <x:row r="142" spans="1:45" s="20" customFormat="1" ht="60" customHeight="1">
      <x:c r="A142" s="155">
        <x:f>IF(D142="","",COUNTA($C$7:C142)-COUNTBLANK($C$7:C142)+9)</x:f>
        <x:v>7</x:v>
      </x:c>
      <x:c r="B142" s="156" t="str">
        <x: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x:f>
        <x:v>도시환경위원회</x:v>
      </x:c>
      <x:c r="C142" s="156" t="str">
        <x:f>IF(D142="","",IF(OR(D142="교육지원과",D142="총무과",D142="인사과"),"직접입력",VLOOKUP(D142,구분표!$A$3:$C$258,3,)))</x:f>
        <x:v>도시주택실</x:v>
      </x:c>
      <x:c r="D142" s="219" t="s">
        <x:v>910</x:v>
      </x:c>
      <x:c r="E142" s="213" t="s">
        <x:v>414</x:v>
      </x:c>
      <x:c r="F142" s="388">
        <x:v>936</x:v>
      </x:c>
      <x:c r="G142" s="388">
        <x:v>139</x:v>
      </x:c>
      <x:c r="H142" s="213" t="s">
        <x:v>656</x:v>
      </x:c>
      <x:c r="I142" s="156" t="str">
        <x:f>IF(H142="","",VLOOKUP($H142,구분표!$K$3:$M$151,2,FALSE))</x:f>
        <x:v>자치단체등 자본이전</x:v>
      </x:c>
      <x:c r="J142" s="156" t="str">
        <x:f>IF(I142="","",VLOOKUP($H142,구분표!$K$3:$M$151,3,FALSE))</x:f>
        <x:v>자치단체자본보조</x:v>
      </x:c>
      <x:c r="K142" s="233" t="s">
        <x:v>9</x:v>
      </x:c>
      <x:c r="L142" s="233" t="s">
        <x:v>1914</x:v>
      </x:c>
      <x:c r="M142" s="459">
        <x:v>3964540</x:v>
      </x:c>
      <x:c r="N142" s="459">
        <x:v>-355956</x:v>
      </x:c>
      <x:c r="O142" s="461">
        <x:f t="shared" si="99"/>
        <x:v>3608584</x:v>
      </x:c>
      <x:c r="P142" s="460">
        <x:v>350000</x:v>
      </x:c>
      <x:c r="Q142" s="461">
        <x:f t="shared" si="100"/>
        <x:v>3958584</x:v>
      </x:c>
      <x:c r="R142" s="462"/>
      <x:c r="S142" s="463">
        <x:f t="shared" si="101"/>
        <x:v>3608584</x:v>
      </x:c>
      <x:c r="T142" s="162" t="str">
        <x:f t="shared" si="102"/>
        <x:v>X</x:v>
      </x:c>
      <x:c r="U142" s="220"/>
      <x:c r="V142" s="331"/>
      <x:c r="W142" s="221"/>
      <x:c r="X142" s="222"/>
      <x:c r="Y142" s="220"/>
      <x:c r="Z142" s="222"/>
      <x:c r="AA142" s="220"/>
      <x:c r="AC142" s="487">
        <x:f t="shared" si="103"/>
        <x:v>350000</x:v>
      </x:c>
      <x:c r="AD142" s="487">
        <x:f t="shared" si="3"/>
        <x:v>0</x:v>
      </x:c>
      <x:c r="AE142" s="487">
        <x:f t="shared" si="4"/>
        <x:v>0</x:v>
      </x:c>
      <x:c r="AF142" s="374" t="str">
        <x:f t="shared" si="104"/>
        <x:v>OK</x:v>
      </x:c>
      <x:c r="AG142" s="165"/>
      <x:c r="AH142" s="487">
        <x:f t="shared" si="5"/>
        <x:v>0</x:v>
      </x:c>
      <x:c r="AI142" s="487">
        <x:f t="shared" si="6"/>
        <x:v>0</x:v>
      </x:c>
      <x:c r="AJ142" s="487">
        <x:f t="shared" si="7"/>
        <x:v>0</x:v>
      </x:c>
      <x:c r="AK142" s="374" t="str">
        <x:f t="shared" si="8"/>
        <x:v/>
      </x:c>
      <x:c r="AL142" s="8"/>
      <x:c r="AM142" s="533"/>
      <x:c r="AN142" s="374" t="str">
        <x:f>IF($AM142="","",IF($AM142="세입없음","OK",IF(COUNTIF('3. 일입'!$AN$8:$AN$2000,$AM142),"OK","@@")))</x:f>
        <x:v/>
      </x:c>
      <x:c r="AO142" s="356" t="str">
        <x:f t="shared" si="9"/>
        <x:v>자체</x:v>
      </x:c>
      <x:c r="AP142" s="374" t="str">
        <x:f t="shared" si="10"/>
        <x:v>OK</x:v>
      </x:c>
      <x:c r="AQ142" s="93"/>
      <x:c r="AR142" s="374" t="str">
        <x:f t="array" ref="AR142:AR142">IF(OR($D142="",$C142="직접입력",$B142="직접입력"),"",INDEX(구분표!$I$3:$I$321,MATCH(1,(구분표!$G$3:$G$321=$B142)*(구분표!$E$3:$E$321=$C142)*(구분표!$F$3:$F$321=$D142),0)))</x:f>
        <x:v>10707</x:v>
      </x:c>
      <x:c r="AS142" s="21"/>
    </x:row>
    <x:row r="143" spans="1:45" s="157" customFormat="1" ht="60" customHeight="1">
      <x:c r="A143" s="155">
        <x:f>IF(D143="","",COUNTA($C$7:C143)-COUNTBLANK($C$7:C143)+9)</x:f>
        <x:v>8</x:v>
      </x:c>
      <x:c r="B143" s="156" t="str">
        <x: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x:f>
        <x:v>도시환경위원회</x:v>
      </x:c>
      <x:c r="C143" s="156" t="str">
        <x:f>IF(D143="","",IF(OR(D143="교육지원과",D143="총무과",D143="인사과"),"직접입력",VLOOKUP(D143,구분표!$A$3:$C$258,3,)))</x:f>
        <x:v>기후환경에너지국</x:v>
      </x:c>
      <x:c r="D143" s="219" t="s">
        <x:v>2024</x:v>
      </x:c>
      <x:c r="E143" s="213" t="s">
        <x:v>414</x:v>
      </x:c>
      <x:c r="F143" s="388">
        <x:v>0</x:v>
      </x:c>
      <x:c r="G143" s="388">
        <x:v>0</x:v>
      </x:c>
      <x:c r="H143" s="213" t="s">
        <x:v>680</x:v>
      </x:c>
      <x:c r="I143" s="156" t="str">
        <x:f>IF(H143="","",VLOOKUP($H143,구분표!$K$3:$M$151,2,FALSE))</x:f>
        <x:v>기타회계 등 전출금</x:v>
      </x:c>
      <x:c r="J143" s="156" t="str">
        <x:f>IF(I143="","",VLOOKUP($H143,구분표!$K$3:$M$151,3,FALSE))</x:f>
        <x:v>기타회계전출금</x:v>
      </x:c>
      <x:c r="K143" s="233" t="s">
        <x:v>1697</x:v>
      </x:c>
      <x:c r="L143" s="233" t="s">
        <x:v>1697</x:v>
      </x:c>
      <x:c r="M143" s="459">
        <x:v>10620975</x:v>
      </x:c>
      <x:c r="N143" s="459">
        <x:v>0</x:v>
      </x:c>
      <x:c r="O143" s="461">
        <x:f t="shared" si="99"/>
        <x:v>10620975</x:v>
      </x:c>
      <x:c r="P143" s="460">
        <x:v>-223380</x:v>
      </x:c>
      <x:c r="Q143" s="461">
        <x:f t="shared" si="100"/>
        <x:v>10397595</x:v>
      </x:c>
      <x:c r="R143" s="462"/>
      <x:c r="S143" s="463">
        <x:f t="shared" si="101"/>
        <x:v>10620975</x:v>
      </x:c>
      <x:c r="T143" s="162" t="str">
        <x:f t="shared" si="102"/>
        <x:v>O</x:v>
      </x:c>
      <x:c r="U143" s="220"/>
      <x:c r="V143" s="331"/>
      <x:c r="W143" s="221"/>
      <x:c r="X143" s="222"/>
      <x:c r="Y143" s="220"/>
      <x:c r="Z143" s="222"/>
      <x:c r="AA143" s="220"/>
      <x:c r="AB143" s="20"/>
      <x:c r="AC143" s="487">
        <x:f t="shared" si="103"/>
        <x:v>-223380</x:v>
      </x:c>
      <x:c r="AD143" s="487">
        <x:f t="shared" si="3"/>
        <x:v>0</x:v>
      </x:c>
      <x:c r="AE143" s="487">
        <x:f t="shared" si="4"/>
        <x:v>0</x:v>
      </x:c>
      <x:c r="AF143" s="374" t="str">
        <x:f t="shared" si="104"/>
        <x:v>OK</x:v>
      </x:c>
      <x:c r="AG143" s="165"/>
      <x:c r="AH143" s="487">
        <x:f t="shared" si="5"/>
        <x:v>0</x:v>
      </x:c>
      <x:c r="AI143" s="487">
        <x:f t="shared" si="6"/>
        <x:v>0</x:v>
      </x:c>
      <x:c r="AJ143" s="487">
        <x:f t="shared" si="7"/>
        <x:v>0</x:v>
      </x:c>
      <x:c r="AK143" s="374" t="str">
        <x:f t="shared" si="8"/>
        <x:v/>
      </x:c>
      <x:c r="AL143" s="8"/>
      <x:c r="AM143" s="533"/>
      <x:c r="AN143" s="374" t="str">
        <x:f>IF($AM143="","",IF($AM143="세입없음","OK",IF(COUNTIF('3. 일입'!$AN$8:$AN$2000,$AM143),"OK","@@")))</x:f>
        <x:v/>
      </x:c>
      <x:c r="AO143" s="356" t="str">
        <x:f t="shared" si="9"/>
        <x:v>자체</x:v>
      </x:c>
      <x:c r="AP143" s="374" t="str">
        <x:f t="shared" si="10"/>
        <x:v>OK</x:v>
      </x:c>
      <x:c r="AQ143" s="93"/>
      <x:c r="AR143" s="374" t="str">
        <x:f t="array" ref="AR143:AR143">IF(OR($D143="",$C143="직접입력",$B143="직접입력"),"",INDEX(구분표!$I$3:$I$321,MATCH(1,(구분표!$G$3:$G$321=$B143)*(구분표!$E$3:$E$321=$C143)*(구분표!$F$3:$F$321=$D143),0)))</x:f>
        <x:v>30407</x:v>
      </x:c>
      <x:c r="AS143" s="21"/>
    </x:row>
    <x:row r="144" spans="1:45" s="20" customFormat="1" ht="60" customHeight="1">
      <x:c r="A144" s="155">
        <x:f>IF(D144="","",COUNTA($C$7:C144)-COUNTBLANK($C$7:C144)+9)</x:f>
        <x:v>9</x:v>
      </x:c>
      <x:c r="B144" s="156" t="str">
        <x: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x:f>
        <x:v>도시환경위원회</x:v>
      </x:c>
      <x:c r="C144" s="156" t="str">
        <x:f>IF(D144="","",IF(OR(D144="교육지원과",D144="총무과",D144="인사과"),"직접입력",VLOOKUP(D144,구분표!$A$3:$C$258,3,)))</x:f>
        <x:v>기후환경에너지국</x:v>
      </x:c>
      <x:c r="D144" s="219" t="s">
        <x:v>2024</x:v>
      </x:c>
      <x:c r="E144" s="213" t="s">
        <x:v>414</x:v>
      </x:c>
      <x:c r="F144" s="388">
        <x:v>968</x:v>
      </x:c>
      <x:c r="G144" s="388">
        <x:v>182</x:v>
      </x:c>
      <x:c r="H144" s="213" t="s">
        <x:v>680</x:v>
      </x:c>
      <x:c r="I144" s="156" t="str">
        <x:f>IF(H144="","",VLOOKUP($H144,구분표!$K$3:$M$151,2,FALSE))</x:f>
        <x:v>기타회계 등 전출금</x:v>
      </x:c>
      <x:c r="J144" s="156" t="str">
        <x:f>IF(I144="","",VLOOKUP($H144,구분표!$K$3:$M$151,3,FALSE))</x:f>
        <x:v>기타회계전출금</x:v>
      </x:c>
      <x:c r="K144" s="233" t="s">
        <x:v>1697</x:v>
      </x:c>
      <x:c r="L144" s="233" t="s">
        <x:v>1432</x:v>
      </x:c>
      <x:c r="M144" s="459">
        <x:v>1110900</x:v>
      </x:c>
      <x:c r="N144" s="459">
        <x:v>464120</x:v>
      </x:c>
      <x:c r="O144" s="461">
        <x:f t="shared" si="99"/>
        <x:v>1575020</x:v>
      </x:c>
      <x:c r="P144" s="460">
        <x:v>-464120</x:v>
      </x:c>
      <x:c r="Q144" s="461">
        <x:f t="shared" si="100"/>
        <x:v>1110900</x:v>
      </x:c>
      <x:c r="R144" s="462"/>
      <x:c r="S144" s="463">
        <x:f t="shared" si="101"/>
        <x:v>1575020</x:v>
      </x:c>
      <x:c r="T144" s="162" t="str">
        <x:f t="shared" si="102"/>
        <x:v>O</x:v>
      </x:c>
      <x:c r="U144" s="220"/>
      <x:c r="V144" s="331"/>
      <x:c r="W144" s="221"/>
      <x:c r="X144" s="222"/>
      <x:c r="Y144" s="220"/>
      <x:c r="Z144" s="222"/>
      <x:c r="AA144" s="220"/>
      <x:c r="AC144" s="487">
        <x:f t="shared" si="103"/>
        <x:v>0</x:v>
      </x:c>
      <x:c r="AD144" s="487">
        <x:v>-464120</x:v>
      </x:c>
      <x:c r="AE144" s="487">
        <x:f t="shared" si="4"/>
        <x:v>0</x:v>
      </x:c>
      <x:c r="AF144" s="374" t="str">
        <x:f t="shared" si="104"/>
        <x:v>OK</x:v>
      </x:c>
      <x:c r="AG144" s="165"/>
      <x:c r="AH144" s="487">
        <x:f t="shared" si="5"/>
        <x:v>0</x:v>
      </x:c>
      <x:c r="AI144" s="487" t="str">
        <x:f t="shared" si="6"/>
        <x:v>재원입력필요</x:v>
      </x:c>
      <x:c r="AJ144" s="487">
        <x:f t="shared" si="7"/>
        <x:v>0</x:v>
      </x:c>
      <x:c r="AK144" s="374" t="str">
        <x:f t="shared" si="8"/>
        <x:v/>
      </x:c>
      <x:c r="AL144" s="8"/>
      <x:c r="AM144" s="533" t="s">
        <x:v>1614</x:v>
      </x:c>
      <x:c r="AN144" s="374" t="str">
        <x:f>IF($AM144="","",IF($AM144="세입없음","OK",IF(COUNTIF('3. 일입'!$AN$8:$AN$2000,$AM144),"OK","@@")))</x:f>
        <x:v>OK</x:v>
      </x:c>
      <x:c r="AO144" s="356" t="str">
        <x:f t="shared" si="9"/>
        <x:v>지방채</x:v>
      </x:c>
      <x:c r="AP144" s="374" t="str">
        <x:f t="shared" si="10"/>
        <x:v>OK</x:v>
      </x:c>
      <x:c r="AQ144" s="93"/>
      <x:c r="AR144" s="374" t="str">
        <x:f t="array" ref="AR144:AR144">IF(OR($D144="",$C144="직접입력",$B144="직접입력"),"",INDEX(구분표!$I$3:$I$321,MATCH(1,(구분표!$G$3:$G$321=$B144)*(구분표!$E$3:$E$321=$C144)*(구분표!$F$3:$F$321=$D144),0)))</x:f>
        <x:v>30407</x:v>
      </x:c>
      <x:c r="AS144" s="21"/>
    </x:row>
    <x:row r="145" spans="1:45" s="20" customFormat="1" ht="60" customHeight="1">
      <x:c r="A145" s="155">
        <x:f>IF(D145="","",COUNTA($C$7:C145)-COUNTBLANK($C$7:C145)+9)</x:f>
        <x:v>10</x:v>
      </x:c>
      <x:c r="B145" s="156" t="str">
        <x: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x:f>
        <x:v>도시환경위원회</x:v>
      </x:c>
      <x:c r="C145" s="156" t="str">
        <x:f>IF(D145="","",IF(OR(D145="교육지원과",D145="총무과",D145="인사과"),"직접입력",VLOOKUP(D145,구분표!$A$3:$C$258,3,)))</x:f>
        <x:v>수자원본부</x:v>
      </x:c>
      <x:c r="D145" s="219" t="s">
        <x:v>473</x:v>
      </x:c>
      <x:c r="E145" s="213" t="s">
        <x:v>414</x:v>
      </x:c>
      <x:c r="F145" s="388">
        <x:v>991</x:v>
      </x:c>
      <x:c r="G145" s="388">
        <x:v>40</x:v>
      </x:c>
      <x:c r="H145" s="213" t="s">
        <x:v>550</x:v>
      </x:c>
      <x:c r="I145" s="156" t="str">
        <x:f>IF(H145="","",VLOOKUP($H145,구분표!$K$3:$M$151,2,FALSE))</x:f>
        <x:v>일반운영비</x:v>
      </x:c>
      <x:c r="J145" s="156" t="str">
        <x:f>IF(I145="","",VLOOKUP($H145,구분표!$K$3:$M$151,3,FALSE))</x:f>
        <x:v>공공운영비</x:v>
      </x:c>
      <x:c r="K145" s="233" t="s">
        <x:v>1692</x:v>
      </x:c>
      <x:c r="L145" s="233" t="s">
        <x:v>1611</x:v>
      </x:c>
      <x:c r="M145" s="459">
        <x:v>247664</x:v>
      </x:c>
      <x:c r="N145" s="459">
        <x:v>-10620</x:v>
      </x:c>
      <x:c r="O145" s="461">
        <x:f t="shared" si="99"/>
        <x:v>237044</x:v>
      </x:c>
      <x:c r="P145" s="460">
        <x:v>10620</x:v>
      </x:c>
      <x:c r="Q145" s="461">
        <x:f t="shared" si="100"/>
        <x:v>247664</x:v>
      </x:c>
      <x:c r="R145" s="462"/>
      <x:c r="S145" s="463">
        <x:f t="shared" si="101"/>
        <x:v>237044</x:v>
      </x:c>
      <x:c r="T145" s="162" t="str">
        <x:f t="shared" si="102"/>
        <x:v>X</x:v>
      </x:c>
      <x:c r="U145" s="220"/>
      <x:c r="V145" s="331"/>
      <x:c r="W145" s="221"/>
      <x:c r="X145" s="222"/>
      <x:c r="Y145" s="220"/>
      <x:c r="Z145" s="222"/>
      <x:c r="AA145" s="220"/>
      <x:c r="AC145" s="487">
        <x:f t="shared" si="103"/>
        <x:v>10620</x:v>
      </x:c>
      <x:c r="AD145" s="487">
        <x:f t="shared" si="3"/>
        <x:v>0</x:v>
      </x:c>
      <x:c r="AE145" s="487">
        <x:f t="shared" si="4"/>
        <x:v>0</x:v>
      </x:c>
      <x:c r="AF145" s="374" t="str">
        <x:f t="shared" si="104"/>
        <x:v>OK</x:v>
      </x:c>
      <x:c r="AG145" s="165"/>
      <x:c r="AH145" s="487">
        <x:f t="shared" si="5"/>
        <x:v>0</x:v>
      </x:c>
      <x:c r="AI145" s="487">
        <x:f t="shared" si="6"/>
        <x:v>0</x:v>
      </x:c>
      <x:c r="AJ145" s="487">
        <x:f t="shared" si="7"/>
        <x:v>0</x:v>
      </x:c>
      <x:c r="AK145" s="374" t="str">
        <x:f t="shared" si="8"/>
        <x:v/>
      </x:c>
      <x:c r="AL145" s="8"/>
      <x:c r="AM145" s="533"/>
      <x:c r="AN145" s="374" t="str">
        <x:f>IF($AM145="","",IF($AM145="세입없음","OK",IF(COUNTIF('3. 일입'!$AN$8:$AN$2000,$AM145),"OK","@@")))</x:f>
        <x:v/>
      </x:c>
      <x:c r="AO145" s="356" t="str">
        <x:f t="shared" si="9"/>
        <x:v>자체</x:v>
      </x:c>
      <x:c r="AP145" s="374" t="str">
        <x:f t="shared" si="10"/>
        <x:v>OK</x:v>
      </x:c>
      <x:c r="AQ145" s="93"/>
      <x:c r="AR145" s="374" t="str">
        <x:f t="array" ref="AR145:AR145">IF(OR($D145="",$C145="직접입력",$B145="직접입력"),"",INDEX(구분표!$I$3:$I$321,MATCH(1,(구분표!$G$3:$G$321=$B145)*(구분표!$E$3:$E$321=$C145)*(구분표!$F$3:$F$321=$D145),0)))</x:f>
        <x:v>50601</x:v>
      </x:c>
      <x:c r="AS145" s="21"/>
    </x:row>
    <x:row r="146" spans="1:45" s="20" customFormat="1" ht="60" customHeight="1">
      <x:c r="A146" s="155">
        <x:f>IF(D146="","",COUNTA($C$7:C146)-COUNTBLANK($C$7:C146)+9)</x:f>
        <x:v>11</x:v>
      </x:c>
      <x:c r="B146" s="156" t="str">
        <x: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x:f>
        <x:v>도시환경위원회</x:v>
      </x:c>
      <x:c r="C146" s="156" t="str">
        <x:f>IF(D146="","",IF(OR(D146="교육지원과",D146="총무과",D146="인사과"),"직접입력",VLOOKUP(D146,구분표!$A$3:$C$258,3,)))</x:f>
        <x:v>수자원본부</x:v>
      </x:c>
      <x:c r="D146" s="219" t="s">
        <x:v>499</x:v>
      </x:c>
      <x:c r="E146" s="213" t="s">
        <x:v>414</x:v>
      </x:c>
      <x:c r="F146" s="388">
        <x:v>994</x:v>
      </x:c>
      <x:c r="G146" s="388">
        <x:v>65</x:v>
      </x:c>
      <x:c r="H146" s="213" t="s">
        <x:v>656</x:v>
      </x:c>
      <x:c r="I146" s="156" t="str">
        <x:f>IF(H146="","",VLOOKUP($H146,구분표!$K$3:$M$151,2,FALSE))</x:f>
        <x:v>자치단체등 자본이전</x:v>
      </x:c>
      <x:c r="J146" s="156" t="str">
        <x:f>IF(I146="","",VLOOKUP($H146,구분표!$K$3:$M$151,3,FALSE))</x:f>
        <x:v>자치단체자본보조</x:v>
      </x:c>
      <x:c r="K146" s="233" t="s">
        <x:v>1466</x:v>
      </x:c>
      <x:c r="L146" s="233" t="s">
        <x:v>1427</x:v>
      </x:c>
      <x:c r="M146" s="459">
        <x:v>0</x:v>
      </x:c>
      <x:c r="N146" s="459">
        <x:v>300000</x:v>
      </x:c>
      <x:c r="O146" s="461">
        <x:f t="shared" si="99"/>
        <x:v>300000</x:v>
      </x:c>
      <x:c r="P146" s="460">
        <x:v>-300000</x:v>
      </x:c>
      <x:c r="Q146" s="461">
        <x:f t="shared" si="100"/>
        <x:v>0</x:v>
      </x:c>
      <x:c r="R146" s="462"/>
      <x:c r="S146" s="463">
        <x:f t="shared" si="101"/>
        <x:v>300000</x:v>
      </x:c>
      <x:c r="T146" s="162" t="str">
        <x:f t="shared" si="102"/>
        <x:v>O</x:v>
      </x:c>
      <x:c r="U146" s="220"/>
      <x:c r="V146" s="331"/>
      <x:c r="W146" s="221"/>
      <x:c r="X146" s="222"/>
      <x:c r="Y146" s="220"/>
      <x:c r="Z146" s="222"/>
      <x:c r="AA146" s="220"/>
      <x:c r="AC146" s="487">
        <x:f t="shared" si="103"/>
        <x:v>-300000</x:v>
      </x:c>
      <x:c r="AD146" s="487">
        <x:f t="shared" si="3"/>
        <x:v>0</x:v>
      </x:c>
      <x:c r="AE146" s="487">
        <x:f t="shared" si="4"/>
        <x:v>0</x:v>
      </x:c>
      <x:c r="AF146" s="374" t="str">
        <x:f t="shared" si="104"/>
        <x:v>OK</x:v>
      </x:c>
      <x:c r="AG146" s="165"/>
      <x:c r="AH146" s="487">
        <x:f t="shared" si="5"/>
        <x:v>0</x:v>
      </x:c>
      <x:c r="AI146" s="487">
        <x:f t="shared" si="6"/>
        <x:v>0</x:v>
      </x:c>
      <x:c r="AJ146" s="487">
        <x:f t="shared" si="7"/>
        <x:v>0</x:v>
      </x:c>
      <x:c r="AK146" s="374" t="str">
        <x:f t="shared" si="8"/>
        <x:v/>
      </x:c>
      <x:c r="AL146" s="8"/>
      <x:c r="AM146" s="533"/>
      <x:c r="AN146" s="374" t="str">
        <x:f>IF($AM146="","",IF($AM146="세입없음","OK",IF(COUNTIF('3. 일입'!$AN$8:$AN$2000,$AM146),"OK","@@")))</x:f>
        <x:v/>
      </x:c>
      <x:c r="AO146" s="356" t="str">
        <x:f t="shared" si="9"/>
        <x:v>자체</x:v>
      </x:c>
      <x:c r="AP146" s="374" t="str">
        <x:f t="shared" si="10"/>
        <x:v>OK</x:v>
      </x:c>
      <x:c r="AQ146" s="93"/>
      <x:c r="AR146" s="374" t="str">
        <x:f t="array" ref="AR146:AR146">IF(OR($D146="",$C146="직접입력",$B146="직접입력"),"",INDEX(구분표!$I$3:$I$321,MATCH(1,(구분표!$G$3:$G$321=$B146)*(구분표!$E$3:$E$321=$C146)*(구분표!$F$3:$F$321=$D146),0)))</x:f>
        <x:v>50603</x:v>
      </x:c>
      <x:c r="AS146" s="21"/>
    </x:row>
    <x:row r="147" spans="1:45" s="20" customFormat="1" ht="60" customHeight="1">
      <x:c r="A147" s="155">
        <x:f>IF(D147="","",COUNTA($C$7:C147)-COUNTBLANK($C$7:C147)+9)</x:f>
        <x:v>12</x:v>
      </x:c>
      <x:c r="B147" s="156" t="str">
        <x: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x:f>
        <x:v>도시환경위원회</x:v>
      </x:c>
      <x:c r="C147" s="156" t="str">
        <x:f>IF(D147="","",IF(OR(D147="교육지원과",D147="총무과",D147="인사과"),"직접입력",VLOOKUP(D147,구분표!$A$3:$C$258,3,)))</x:f>
        <x:v>수자원본부</x:v>
      </x:c>
      <x:c r="D147" s="219" t="s">
        <x:v>476</x:v>
      </x:c>
      <x:c r="E147" s="213" t="s">
        <x:v>414</x:v>
      </x:c>
      <x:c r="F147" s="388">
        <x:v>997</x:v>
      </x:c>
      <x:c r="G147" s="388">
        <x:v>97</x:v>
      </x:c>
      <x:c r="H147" s="213" t="s">
        <x:v>554</x:v>
      </x:c>
      <x:c r="I147" s="156" t="str">
        <x:f>IF(H147="","",VLOOKUP($H147,구분표!$K$3:$M$151,2,FALSE))</x:f>
        <x:v>일반운영비</x:v>
      </x:c>
      <x:c r="J147" s="156" t="str">
        <x:f>IF(I147="","",VLOOKUP($H147,구분표!$K$3:$M$151,3,FALSE))</x:f>
        <x:v>행사운영비</x:v>
      </x:c>
      <x:c r="K147" s="233" t="s">
        <x:v>1700</x:v>
      </x:c>
      <x:c r="L147" s="233" t="s">
        <x:v>1612</x:v>
      </x:c>
      <x:c r="M147" s="459">
        <x:v>8000</x:v>
      </x:c>
      <x:c r="N147" s="459">
        <x:v>-8000</x:v>
      </x:c>
      <x:c r="O147" s="461">
        <x:f t="shared" si="99"/>
        <x:v>0</x:v>
      </x:c>
      <x:c r="P147" s="460">
        <x:v>4000</x:v>
      </x:c>
      <x:c r="Q147" s="461">
        <x:f t="shared" si="100"/>
        <x:v>4000</x:v>
      </x:c>
      <x:c r="R147" s="462"/>
      <x:c r="S147" s="463">
        <x:f t="shared" si="101"/>
        <x:v>0</x:v>
      </x:c>
      <x:c r="T147" s="162" t="str">
        <x:f t="shared" si="102"/>
        <x:v>X</x:v>
      </x:c>
      <x:c r="U147" s="220"/>
      <x:c r="V147" s="331"/>
      <x:c r="W147" s="221"/>
      <x:c r="X147" s="222"/>
      <x:c r="Y147" s="220"/>
      <x:c r="Z147" s="222"/>
      <x:c r="AA147" s="220"/>
      <x:c r="AC147" s="487">
        <x:f t="shared" si="103"/>
        <x:v>4000</x:v>
      </x:c>
      <x:c r="AD147" s="487">
        <x:f t="shared" si="3"/>
        <x:v>0</x:v>
      </x:c>
      <x:c r="AE147" s="487">
        <x:f t="shared" si="4"/>
        <x:v>0</x:v>
      </x:c>
      <x:c r="AF147" s="374" t="str">
        <x:f t="shared" si="104"/>
        <x:v>OK</x:v>
      </x:c>
      <x:c r="AG147" s="165"/>
      <x:c r="AH147" s="487">
        <x:f t="shared" si="5"/>
        <x:v>0</x:v>
      </x:c>
      <x:c r="AI147" s="487">
        <x:f t="shared" si="6"/>
        <x:v>0</x:v>
      </x:c>
      <x:c r="AJ147" s="487">
        <x:f t="shared" si="7"/>
        <x:v>0</x:v>
      </x:c>
      <x:c r="AK147" s="374" t="str">
        <x:f t="shared" si="8"/>
        <x:v/>
      </x:c>
      <x:c r="AL147" s="8"/>
      <x:c r="AM147" s="533"/>
      <x:c r="AN147" s="374" t="str">
        <x:f>IF($AM147="","",IF($AM147="세입없음","OK",IF(COUNTIF('3. 일입'!$AN$8:$AN$2000,$AM147),"OK","@@")))</x:f>
        <x:v/>
      </x:c>
      <x:c r="AO147" s="356" t="str">
        <x:f t="shared" si="9"/>
        <x:v>자체</x:v>
      </x:c>
      <x:c r="AP147" s="374" t="str">
        <x:f t="shared" si="10"/>
        <x:v>OK</x:v>
      </x:c>
      <x:c r="AQ147" s="93"/>
      <x:c r="AR147" s="374" t="str">
        <x:f t="array" ref="AR147:AR147">IF(OR($D147="",$C147="직접입력",$B147="직접입력"),"",INDEX(구분표!$I$3:$I$321,MATCH(1,(구분표!$G$3:$G$321=$B147)*(구분표!$E$3:$E$321=$C147)*(구분표!$F$3:$F$321=$D147),0)))</x:f>
        <x:v>50604</x:v>
      </x:c>
      <x:c r="AS147" s="21"/>
    </x:row>
    <x:row r="148" spans="1:45" s="157" customFormat="1" ht="60" customHeight="1">
      <x:c r="A148" s="155" t="str">
        <x:f>IF(D148="","",COUNTA($C$7:C148)-COUNTBLANK($C$7:C148)+9)</x:f>
        <x:v/>
      </x:c>
      <x:c r="B148" s="156" t="str">
        <x: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x:f>
        <x:v/>
      </x:c>
      <x:c r="C148" s="156" t="str">
        <x:f>IF(D148="","",IF(OR(D148="교육지원과",D148="총무과",D148="인사과"),"직접입력",VLOOKUP(D148,구분표!$A$3:$C$258,3,)))</x:f>
        <x:v/>
      </x:c>
      <x:c r="D148" s="219"/>
      <x:c r="E148" s="213"/>
      <x:c r="F148" s="388" t="str">
        <x:f t="shared" ref="F148:G150" si="105">IF($E148="","",IF($E148="2추","직접입력","-"))</x:f>
        <x:v/>
      </x:c>
      <x:c r="G148" s="388" t="str">
        <x:f t="shared" si="105"/>
        <x:v/>
      </x:c>
      <x:c r="H148" s="213"/>
      <x:c r="I148" s="156" t="str">
        <x:f>IF(H148="","",VLOOKUP($H148,구분표!$K$3:$M$151,2,FALSE))</x:f>
        <x:v/>
      </x:c>
      <x:c r="J148" s="156" t="str">
        <x:f>IF(I148="","",VLOOKUP($H148,구분표!$K$3:$M$151,3,FALSE))</x:f>
        <x:v/>
      </x:c>
      <x:c r="K148" s="233"/>
      <x:c r="L148" s="233"/>
      <x:c r="M148" s="459" t="str">
        <x:f t="shared" ref="M148:M150" si="106">IF($E148="","",IF(OR($E148="2추",$E148="1추",$E148="본예산"),"금액입력","-"))</x:f>
        <x:v/>
      </x:c>
      <x:c r="N148" s="459" t="str">
        <x:f t="shared" ref="N148:N150" si="107">IF($E148="","",IF($E148="2추","금액입력","-"))</x:f>
        <x:v/>
      </x:c>
      <x:c r="O148" s="461" t="str">
        <x:f t="shared" si="99"/>
        <x:v/>
      </x:c>
      <x:c r="P148" s="460"/>
      <x:c r="Q148" s="461">
        <x:f t="shared" si="100"/>
        <x:v>0</x:v>
      </x:c>
      <x:c r="R148" s="462"/>
      <x:c r="S148" s="463">
        <x:f t="shared" si="101"/>
        <x:v>0</x:v>
      </x:c>
      <x:c r="T148" s="162" t="str">
        <x:f t="shared" si="102"/>
        <x:v>X</x:v>
      </x:c>
      <x:c r="U148" s="220"/>
      <x:c r="V148" s="331"/>
      <x:c r="W148" s="221"/>
      <x:c r="X148" s="222"/>
      <x:c r="Y148" s="220"/>
      <x:c r="Z148" s="222"/>
      <x:c r="AA148" s="220"/>
      <x:c r="AB148" s="20"/>
      <x:c r="AC148" s="487">
        <x:f t="shared" si="103"/>
        <x:v>0</x:v>
      </x:c>
      <x:c r="AD148" s="487">
        <x:f t="shared" si="3"/>
        <x:v>0</x:v>
      </x:c>
      <x:c r="AE148" s="487">
        <x:f t="shared" si="4"/>
        <x:v>0</x:v>
      </x:c>
      <x:c r="AF148" s="374" t="str">
        <x:f t="shared" si="104"/>
        <x:v/>
      </x:c>
      <x:c r="AG148" s="165"/>
      <x:c r="AH148" s="487">
        <x:f t="shared" si="5"/>
        <x:v>0</x:v>
      </x:c>
      <x:c r="AI148" s="487">
        <x:f t="shared" si="6"/>
        <x:v>0</x:v>
      </x:c>
      <x:c r="AJ148" s="487">
        <x:f t="shared" si="7"/>
        <x:v>0</x:v>
      </x:c>
      <x:c r="AK148" s="374" t="str">
        <x:f t="shared" si="8"/>
        <x:v/>
      </x:c>
      <x:c r="AL148" s="8"/>
      <x:c r="AM148" s="533"/>
      <x:c r="AN148" s="374" t="str">
        <x:f>IF($AM148="","",IF($AM148="세입없음","OK",IF(COUNTIF('3. 일입'!$AN$8:$AN$2000,$AM148),"OK","@@")))</x:f>
        <x:v/>
      </x:c>
      <x:c r="AO148" s="356" t="str">
        <x:f t="shared" si="9"/>
        <x:v/>
      </x:c>
      <x:c r="AP148" s="374" t="str">
        <x:f t="shared" si="10"/>
        <x:v/>
      </x:c>
      <x:c r="AQ148" s="93"/>
      <x:c r="AR148" s="374" t="str">
        <x:f t="array" ref="AR148:AR148">IF(OR($D148="",$C148="직접입력",$B148="직접입력"),"",INDEX(구분표!$I$3:$I$321,MATCH(1,(구분표!$G$3:$G$321=$B148)*(구분표!$E$3:$E$321=$C148)*(구분표!$F$3:$F$321=$D148),0)))</x:f>
        <x:v/>
      </x:c>
      <x:c r="AS148" s="21"/>
    </x:row>
    <x:row r="149" spans="1:45" s="157" customFormat="1" ht="60" customHeight="1">
      <x:c r="A149" s="155" t="str">
        <x:f>IF(D149="","",COUNTA($C$7:C149)-COUNTBLANK($C$7:C149)+9)</x:f>
        <x:v/>
      </x:c>
      <x:c r="B149" s="156" t="str">
        <x: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x:f>
        <x:v/>
      </x:c>
      <x:c r="C149" s="156" t="str">
        <x:f>IF(D149="","",IF(OR(D149="교육지원과",D149="총무과",D149="인사과"),"직접입력",VLOOKUP(D149,구분표!$A$3:$C$258,3,)))</x:f>
        <x:v/>
      </x:c>
      <x:c r="D149" s="219"/>
      <x:c r="E149" s="213"/>
      <x:c r="F149" s="388" t="str">
        <x:f t="shared" si="105"/>
        <x:v/>
      </x:c>
      <x:c r="G149" s="388" t="str">
        <x:f t="shared" si="105"/>
        <x:v/>
      </x:c>
      <x:c r="H149" s="213"/>
      <x:c r="I149" s="156" t="str">
        <x:f>IF(H149="","",VLOOKUP($H149,구분표!$K$3:$M$151,2,FALSE))</x:f>
        <x:v/>
      </x:c>
      <x:c r="J149" s="156" t="str">
        <x:f>IF(I149="","",VLOOKUP($H149,구분표!$K$3:$M$151,3,FALSE))</x:f>
        <x:v/>
      </x:c>
      <x:c r="K149" s="233"/>
      <x:c r="L149" s="233"/>
      <x:c r="M149" s="459" t="str">
        <x:f t="shared" si="106"/>
        <x:v/>
      </x:c>
      <x:c r="N149" s="459" t="str">
        <x:f t="shared" si="107"/>
        <x:v/>
      </x:c>
      <x:c r="O149" s="461" t="str">
        <x:f t="shared" si="99"/>
        <x:v/>
      </x:c>
      <x:c r="P149" s="460"/>
      <x:c r="Q149" s="461">
        <x:f t="shared" si="100"/>
        <x:v>0</x:v>
      </x:c>
      <x:c r="R149" s="462"/>
      <x:c r="S149" s="463">
        <x:f t="shared" si="101"/>
        <x:v>0</x:v>
      </x:c>
      <x:c r="T149" s="162" t="str">
        <x:f t="shared" si="102"/>
        <x:v>X</x:v>
      </x:c>
      <x:c r="U149" s="220"/>
      <x:c r="V149" s="331"/>
      <x:c r="W149" s="221"/>
      <x:c r="X149" s="222"/>
      <x:c r="Y149" s="220"/>
      <x:c r="Z149" s="222"/>
      <x:c r="AA149" s="220"/>
      <x:c r="AB149" s="20"/>
      <x:c r="AC149" s="487">
        <x:f t="shared" si="103"/>
        <x:v>0</x:v>
      </x:c>
      <x:c r="AD149" s="487">
        <x:f t="shared" si="3"/>
        <x:v>0</x:v>
      </x:c>
      <x:c r="AE149" s="487">
        <x:f t="shared" si="4"/>
        <x:v>0</x:v>
      </x:c>
      <x:c r="AF149" s="374" t="str">
        <x:f t="shared" si="104"/>
        <x:v/>
      </x:c>
      <x:c r="AG149" s="165"/>
      <x:c r="AH149" s="487">
        <x:f t="shared" si="5"/>
        <x:v>0</x:v>
      </x:c>
      <x:c r="AI149" s="487">
        <x:f t="shared" si="6"/>
        <x:v>0</x:v>
      </x:c>
      <x:c r="AJ149" s="487">
        <x:f t="shared" si="7"/>
        <x:v>0</x:v>
      </x:c>
      <x:c r="AK149" s="374" t="str">
        <x:f t="shared" si="8"/>
        <x:v/>
      </x:c>
      <x:c r="AL149" s="8"/>
      <x:c r="AM149" s="533"/>
      <x:c r="AN149" s="374" t="str">
        <x:f>IF($AM149="","",IF($AM149="세입없음","OK",IF(COUNTIF('3. 일입'!$AN$8:$AN$2000,$AM149),"OK","@@")))</x:f>
        <x:v/>
      </x:c>
      <x:c r="AO149" s="356" t="str">
        <x:f t="shared" si="9"/>
        <x:v/>
      </x:c>
      <x:c r="AP149" s="374" t="str">
        <x:f t="shared" si="10"/>
        <x:v/>
      </x:c>
      <x:c r="AQ149" s="93"/>
      <x:c r="AR149" s="374" t="str">
        <x:f t="array" ref="AR149:AR149">IF(OR($D149="",$C149="직접입력",$B149="직접입력"),"",INDEX(구분표!$I$3:$I$321,MATCH(1,(구분표!$G$3:$G$321=$B149)*(구분표!$E$3:$E$321=$C149)*(구분표!$F$3:$F$321=$D149),0)))</x:f>
        <x:v/>
      </x:c>
      <x:c r="AS149" s="21"/>
    </x:row>
    <x:row r="150" spans="1:45" s="20" customFormat="1" ht="60" customHeight="1">
      <x:c r="A150" s="155" t="str">
        <x:f>IF(D150="","",COUNTA($C$7:C150)-COUNTBLANK($C$7:C150)+9)</x:f>
        <x:v/>
      </x:c>
      <x:c r="B150" s="156" t="str">
        <x: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x:f>
        <x:v/>
      </x:c>
      <x:c r="C150" s="156" t="str">
        <x:f>IF(D150="","",IF(OR(D150="교육지원과",D150="총무과",D150="인사과"),"직접입력",VLOOKUP(D150,구분표!$A$3:$C$258,3,)))</x:f>
        <x:v/>
      </x:c>
      <x:c r="D150" s="219"/>
      <x:c r="E150" s="213"/>
      <x:c r="F150" s="388" t="str">
        <x:f t="shared" si="105"/>
        <x:v/>
      </x:c>
      <x:c r="G150" s="388" t="str">
        <x:f t="shared" si="105"/>
        <x:v/>
      </x:c>
      <x:c r="H150" s="213"/>
      <x:c r="I150" s="156" t="str">
        <x:f>IF(H150="","",VLOOKUP($H150,구분표!$K$3:$M$151,2,FALSE))</x:f>
        <x:v/>
      </x:c>
      <x:c r="J150" s="156" t="str">
        <x:f>IF(I150="","",VLOOKUP($H150,구분표!$K$3:$M$151,3,FALSE))</x:f>
        <x:v/>
      </x:c>
      <x:c r="K150" s="233"/>
      <x:c r="L150" s="233"/>
      <x:c r="M150" s="459" t="str">
        <x:f t="shared" si="106"/>
        <x:v/>
      </x:c>
      <x:c r="N150" s="459" t="str">
        <x:f t="shared" si="107"/>
        <x:v/>
      </x:c>
      <x:c r="O150" s="461" t="str">
        <x:f t="shared" si="99"/>
        <x:v/>
      </x:c>
      <x:c r="P150" s="460"/>
      <x:c r="Q150" s="461">
        <x:f t="shared" si="100"/>
        <x:v>0</x:v>
      </x:c>
      <x:c r="R150" s="462"/>
      <x:c r="S150" s="463">
        <x:f t="shared" si="101"/>
        <x:v>0</x:v>
      </x:c>
      <x:c r="T150" s="162" t="str">
        <x:f t="shared" si="102"/>
        <x:v>X</x:v>
      </x:c>
      <x:c r="U150" s="220"/>
      <x:c r="V150" s="331"/>
      <x:c r="W150" s="221"/>
      <x:c r="X150" s="222"/>
      <x:c r="Y150" s="220"/>
      <x:c r="Z150" s="222"/>
      <x:c r="AA150" s="220"/>
      <x:c r="AC150" s="487">
        <x:f t="shared" si="103"/>
        <x:v>0</x:v>
      </x:c>
      <x:c r="AD150" s="487">
        <x:f t="shared" si="3"/>
        <x:v>0</x:v>
      </x:c>
      <x:c r="AE150" s="487">
        <x:f t="shared" si="4"/>
        <x:v>0</x:v>
      </x:c>
      <x:c r="AF150" s="374" t="str">
        <x:f t="shared" si="104"/>
        <x:v/>
      </x:c>
      <x:c r="AG150" s="165"/>
      <x:c r="AH150" s="487">
        <x:f t="shared" si="5"/>
        <x:v>0</x:v>
      </x:c>
      <x:c r="AI150" s="487">
        <x:f t="shared" si="6"/>
        <x:v>0</x:v>
      </x:c>
      <x:c r="AJ150" s="487">
        <x:f t="shared" si="7"/>
        <x:v>0</x:v>
      </x:c>
      <x:c r="AK150" s="374" t="str">
        <x:f t="shared" si="8"/>
        <x:v/>
      </x:c>
      <x:c r="AL150" s="8"/>
      <x:c r="AM150" s="533"/>
      <x:c r="AN150" s="374" t="str">
        <x:f>IF($AM150="","",IF($AM150="세입없음","OK",IF(COUNTIF('3. 일입'!$AN$8:$AN$2000,$AM150),"OK","@@")))</x:f>
        <x:v/>
      </x:c>
      <x:c r="AO150" s="356" t="str">
        <x:f t="shared" si="9"/>
        <x:v/>
      </x:c>
      <x:c r="AP150" s="374" t="str">
        <x:f t="shared" si="10"/>
        <x:v/>
      </x:c>
      <x:c r="AQ150" s="93"/>
      <x:c r="AR150" s="374" t="str">
        <x:f t="array" ref="AR150:AR150">IF(OR($D150="",$C150="직접입력",$B150="직접입력"),"",INDEX(구분표!$I$3:$I$321,MATCH(1,(구분표!$G$3:$G$321=$B150)*(구분표!$E$3:$E$321=$C150)*(구분표!$F$3:$F$321=$D150),0)))</x:f>
        <x:v/>
      </x:c>
      <x:c r="AS150" s="21"/>
    </x:row>
    <x:row r="151" spans="1:45" s="336" customFormat="1" ht="60" customHeight="1">
      <x:c r="A151" s="335"/>
      <x:c r="B151" s="979" t="s">
        <x:v>62</x:v>
      </x:c>
      <x:c r="C151" s="979"/>
      <x:c r="D151" s="979"/>
      <x:c r="E151" s="979"/>
      <x:c r="F151" s="979"/>
      <x:c r="G151" s="979"/>
      <x:c r="H151" s="243"/>
      <x:c r="I151" s="358"/>
      <x:c r="J151" s="358"/>
      <x:c r="K151" s="418"/>
      <x:c r="L151" s="419" t="str">
        <x:f>SUBTOTAL(3,L152:L166)&amp;"건"</x:f>
        <x:v>0건</x:v>
      </x:c>
      <x:c r="M151" s="476">
        <x:f t="shared" ref="M151:N151" si="108">SUBTOTAL(9,M152:M166)</x:f>
        <x:v>0</x:v>
      </x:c>
      <x:c r="N151" s="476">
        <x:f t="shared" si="108"/>
        <x:v>0</x:v>
      </x:c>
      <x:c r="O151" s="476">
        <x:f t="shared" ref="O151:S151" si="109">SUBTOTAL(9,O152:O166)</x:f>
        <x:v>0</x:v>
      </x:c>
      <x:c r="P151" s="476">
        <x:f t="shared" si="109"/>
        <x:v>0</x:v>
      </x:c>
      <x:c r="Q151" s="476">
        <x:f t="shared" si="109"/>
        <x:v>0</x:v>
      </x:c>
      <x:c r="R151" s="476">
        <x:f t="shared" si="109"/>
        <x:v>0</x:v>
      </x:c>
      <x:c r="S151" s="476">
        <x:f t="shared" si="109"/>
        <x:v>0</x:v>
      </x:c>
      <x:c r="T151" s="416"/>
      <x:c r="U151" s="420"/>
      <x:c r="V151" s="420"/>
      <x:c r="W151" s="186"/>
      <x:c r="X151" s="186"/>
      <x:c r="Y151" s="186"/>
      <x:c r="Z151" s="187"/>
      <x:c r="AA151" s="186"/>
      <x:c r="AC151" s="481">
        <x:f>SUBTOTAL(9,AC152:AC166)</x:f>
        <x:v>0</x:v>
      </x:c>
      <x:c r="AD151" s="481">
        <x:f>SUBTOTAL(9,AD152:AD166)</x:f>
        <x:v>0</x:v>
      </x:c>
      <x:c r="AE151" s="481">
        <x:f>SUBTOTAL(9,AE152:AE166)</x:f>
        <x:v>0</x:v>
      </x:c>
      <x:c r="AF151" s="554" t="str">
        <x:f>IF(COUNTIF(AF152:AF166,"@@")&gt;0,"@@","OK")</x:f>
        <x:v>OK</x:v>
      </x:c>
      <x:c r="AG151" s="165"/>
      <x:c r="AH151" s="481">
        <x:f>SUBTOTAL(9,AH152:AH166)</x:f>
        <x:v>0</x:v>
      </x:c>
      <x:c r="AI151" s="481">
        <x:f>SUBTOTAL(9,AI152:AI166)</x:f>
        <x:v>0</x:v>
      </x:c>
      <x:c r="AJ151" s="481">
        <x:f>SUBTOTAL(9,AJ152:AJ166)</x:f>
        <x:v>0</x:v>
      </x:c>
      <x:c r="AK151" s="554" t="str">
        <x:f>IF(COUNTIF(AK152:AK166,"@@")&gt;0,"@@","OK")</x:f>
        <x:v>OK</x:v>
      </x:c>
      <x:c r="AL151" s="165"/>
      <x:c r="AM151" s="422"/>
      <x:c r="AN151" s="554" t="str">
        <x:f>IF(COUNTIF(AN152:AN166,"@@")&gt;0,"@@","OK")</x:f>
        <x:v>OK</x:v>
      </x:c>
      <x:c r="AO151" s="422"/>
      <x:c r="AP151" s="554" t="str">
        <x:f>IF(COUNTIF(AP152:AP166,"@@")&gt;0,"@@","OK")</x:f>
        <x:v>OK</x:v>
      </x:c>
      <x:c r="AQ151" s="164"/>
      <x:c r="AR151" s="422"/>
      <x:c r="AS151" s="21"/>
    </x:row>
    <x:row r="152" spans="1:45" s="20" customFormat="1" ht="60" customHeight="1">
      <x:c r="A152" s="155" t="str">
        <x:f>IF(D152="","",COUNTA($C$7:C152)-COUNTBLANK($C$7:C152)+10)</x:f>
        <x:v/>
      </x:c>
      <x:c r="B152" s="156" t="str">
        <x: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x:f>
        <x:v/>
      </x:c>
      <x:c r="C152" s="156" t="str">
        <x:f>IF(D152="","",IF(OR(D152="교육지원과",D152="총무과",D152="인사과"),"직접입력",VLOOKUP(D152,구분표!$A$3:$C$258,3,)))</x:f>
        <x:v/>
      </x:c>
      <x:c r="D152" s="219"/>
      <x:c r="E152" s="213"/>
      <x:c r="F152" s="388" t="str">
        <x:f>IF($E152="","",IF($E152="2추","직접입력","-"))</x:f>
        <x:v/>
      </x:c>
      <x:c r="G152" s="388" t="str">
        <x:f>IF($E152="","",IF($E152="2추","직접입력","-"))</x:f>
        <x:v/>
      </x:c>
      <x:c r="H152" s="213"/>
      <x:c r="I152" s="156" t="str">
        <x:f>IF(H152="","",VLOOKUP($H152,구분표!$K$3:$M$151,2,FALSE))</x:f>
        <x:v/>
      </x:c>
      <x:c r="J152" s="156" t="str">
        <x:f>IF(I152="","",VLOOKUP($H152,구분표!$K$3:$M$151,3,FALSE))</x:f>
        <x:v/>
      </x:c>
      <x:c r="K152" s="233"/>
      <x:c r="L152" s="233"/>
      <x:c r="M152" s="459" t="str">
        <x:f>IF($E152="","",IF(OR($E152="2추",$E152="1추",$E152="본예산"),"금액입력","-"))</x:f>
        <x:v/>
      </x:c>
      <x:c r="N152" s="459" t="str">
        <x:f>IF($E152="","",IF($E152="2추","금액입력","-"))</x:f>
        <x:v/>
      </x:c>
      <x:c r="O152" s="461" t="str">
        <x:f t="shared" ref="O152:O166" si="110">IF($E152="","",SUM(M152:N152))</x:f>
        <x:v/>
      </x:c>
      <x:c r="P152" s="460"/>
      <x:c r="Q152" s="461">
        <x:f t="shared" ref="Q152:Q166" si="111">SUM(O152:P152)</x:f>
        <x:v>0</x:v>
      </x:c>
      <x:c r="R152" s="462"/>
      <x:c r="S152" s="463">
        <x:f t="shared" ref="S152:S166" si="112">SUM(O152,R152)</x:f>
        <x:v>0</x:v>
      </x:c>
      <x:c r="T152" s="162" t="str">
        <x:f t="shared" ref="T152:T166" si="113">IF(AND((Q152=0),(S152&gt;0)),"O",IF(AND((P152&lt;0),(Q152-S152&lt;0)),"O","X"))</x:f>
        <x:v>X</x:v>
      </x:c>
      <x:c r="U152" s="220"/>
      <x:c r="V152" s="331"/>
      <x:c r="W152" s="221"/>
      <x:c r="X152" s="222"/>
      <x:c r="Y152" s="220"/>
      <x:c r="Z152" s="222"/>
      <x:c r="AA152" s="220"/>
      <x:c r="AC152" s="487">
        <x:f t="shared" ref="AC152:AC166" si="114">IF($P152="",0,IF(AND(ISNUMBER(AD152),ISNUMBER(AE152)),$P152-$AD152-$AE152,0))</x:f>
        <x:v>0</x:v>
      </x:c>
      <x:c r="AD152" s="487">
        <x:f t="shared" si="3"/>
        <x:v>0</x:v>
      </x:c>
      <x:c r="AE152" s="487">
        <x:f t="shared" si="4"/>
        <x:v>0</x:v>
      </x:c>
      <x:c r="AF152" s="374" t="str">
        <x:f t="shared" ref="AF152:AF166" si="115">IF($P152="",IF(SUM($AC152:$AE152)=0,"","@@"),IF(AND($P152=SUM($AC152:$AE152),Q152&gt;=0),"OK","@@"))</x:f>
        <x:v/>
      </x:c>
      <x:c r="AG152" s="165"/>
      <x:c r="AH152" s="487">
        <x:f t="shared" si="5"/>
        <x:v>0</x:v>
      </x:c>
      <x:c r="AI152" s="487">
        <x:f t="shared" si="6"/>
        <x:v>0</x:v>
      </x:c>
      <x:c r="AJ152" s="487">
        <x:f t="shared" si="7"/>
        <x:v>0</x:v>
      </x:c>
      <x:c r="AK152" s="374" t="str">
        <x:f t="shared" si="8"/>
        <x:v/>
      </x:c>
      <x:c r="AL152" s="8"/>
      <x:c r="AM152" s="533"/>
      <x:c r="AN152" s="374" t="str">
        <x:f>IF($AM152="","",IF($AM152="세입없음","OK",IF(COUNTIF('3. 일입'!$AN$8:$AN$2000,$AM152),"OK","@@")))</x:f>
        <x:v/>
      </x:c>
      <x:c r="AO152" s="356" t="str">
        <x:f t="shared" si="9"/>
        <x:v/>
      </x:c>
      <x:c r="AP152" s="374" t="str">
        <x:f t="shared" si="10"/>
        <x:v/>
      </x:c>
      <x:c r="AQ152" s="93"/>
      <x:c r="AR152" s="374" t="str">
        <x:f t="array" ref="AR152:AR152">IF(OR($D152="",$C152="직접입력",$B152="직접입력"),"",INDEX(구분표!$I$3:$I$321,MATCH(1,(구분표!$G$3:$G$321=$B152)*(구분표!$E$3:$E$321=$C152)*(구분표!$F$3:$F$321=$D152),0)))</x:f>
        <x:v/>
      </x:c>
      <x:c r="AS152" s="21"/>
    </x:row>
    <x:row r="153" spans="1:45" s="20" customFormat="1" ht="60" customHeight="1">
      <x:c r="A153" s="155" t="str">
        <x:f>IF(D153="","",COUNTA($C$7:C153)-COUNTBLANK($C$7:C153)+10)</x:f>
        <x:v/>
      </x:c>
      <x:c r="B153" s="156" t="str">
        <x: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x:f>
        <x:v/>
      </x:c>
      <x:c r="C153" s="156" t="str">
        <x:f>IF(D153="","",IF(OR(D153="교육지원과",D153="총무과",D153="인사과"),"직접입력",VLOOKUP(D153,구분표!$A$3:$C$258,3,)))</x:f>
        <x:v/>
      </x:c>
      <x:c r="D153" s="219"/>
      <x:c r="E153" s="213"/>
      <x:c r="F153" s="388" t="str">
        <x:f t="shared" ref="F153:G166" si="116">IF($E153="","",IF($E153="2추","직접입력","-"))</x:f>
        <x:v/>
      </x:c>
      <x:c r="G153" s="388" t="str">
        <x:f t="shared" si="116"/>
        <x:v/>
      </x:c>
      <x:c r="H153" s="213"/>
      <x:c r="I153" s="156" t="str">
        <x:f>IF(H153="","",VLOOKUP($H153,구분표!$K$3:$M$151,2,FALSE))</x:f>
        <x:v/>
      </x:c>
      <x:c r="J153" s="156" t="str">
        <x:f>IF(I153="","",VLOOKUP($H153,구분표!$K$3:$M$151,3,FALSE))</x:f>
        <x:v/>
      </x:c>
      <x:c r="K153" s="233"/>
      <x:c r="L153" s="233"/>
      <x:c r="M153" s="459" t="str">
        <x:f t="shared" ref="M153:M166" si="117">IF($E153="","",IF(OR($E153="2추",$E153="1추",$E153="본예산"),"금액입력","-"))</x:f>
        <x:v/>
      </x:c>
      <x:c r="N153" s="459" t="str">
        <x:f t="shared" ref="N153:N166" si="118">IF($E153="","",IF($E153="2추","금액입력","-"))</x:f>
        <x:v/>
      </x:c>
      <x:c r="O153" s="461" t="str">
        <x:f t="shared" si="110"/>
        <x:v/>
      </x:c>
      <x:c r="P153" s="460"/>
      <x:c r="Q153" s="461">
        <x:f t="shared" si="111"/>
        <x:v>0</x:v>
      </x:c>
      <x:c r="R153" s="462"/>
      <x:c r="S153" s="463">
        <x:f t="shared" si="112"/>
        <x:v>0</x:v>
      </x:c>
      <x:c r="T153" s="162" t="str">
        <x:f t="shared" si="113"/>
        <x:v>X</x:v>
      </x:c>
      <x:c r="U153" s="220"/>
      <x:c r="V153" s="331"/>
      <x:c r="W153" s="221"/>
      <x:c r="X153" s="222"/>
      <x:c r="Y153" s="220"/>
      <x:c r="Z153" s="222"/>
      <x:c r="AA153" s="220"/>
      <x:c r="AC153" s="487">
        <x:f t="shared" si="114"/>
        <x:v>0</x:v>
      </x:c>
      <x:c r="AD153" s="487">
        <x:f t="shared" si="3"/>
        <x:v>0</x:v>
      </x:c>
      <x:c r="AE153" s="487">
        <x:f t="shared" si="4"/>
        <x:v>0</x:v>
      </x:c>
      <x:c r="AF153" s="374" t="str">
        <x:f t="shared" si="115"/>
        <x:v/>
      </x:c>
      <x:c r="AG153" s="165"/>
      <x:c r="AH153" s="487">
        <x:f t="shared" si="5"/>
        <x:v>0</x:v>
      </x:c>
      <x:c r="AI153" s="487">
        <x:f t="shared" si="6"/>
        <x:v>0</x:v>
      </x:c>
      <x:c r="AJ153" s="487">
        <x:f t="shared" si="7"/>
        <x:v>0</x:v>
      </x:c>
      <x:c r="AK153" s="374" t="str">
        <x:f t="shared" si="8"/>
        <x:v/>
      </x:c>
      <x:c r="AL153" s="8"/>
      <x:c r="AM153" s="533"/>
      <x:c r="AN153" s="374" t="str">
        <x:f>IF($AM153="","",IF($AM153="세입없음","OK",IF(COUNTIF('3. 일입'!$AN$8:$AN$2000,$AM153),"OK","@@")))</x:f>
        <x:v/>
      </x:c>
      <x:c r="AO153" s="356" t="str">
        <x:f t="shared" si="9"/>
        <x:v/>
      </x:c>
      <x:c r="AP153" s="374" t="str">
        <x:f t="shared" si="10"/>
        <x:v/>
      </x:c>
      <x:c r="AQ153" s="93"/>
      <x:c r="AR153" s="374" t="str">
        <x:f t="array" ref="AR153:AR153">IF(OR($D153="",$C153="직접입력",$B153="직접입력"),"",INDEX(구분표!$I$3:$I$321,MATCH(1,(구분표!$G$3:$G$321=$B153)*(구분표!$E$3:$E$321=$C153)*(구분표!$F$3:$F$321=$D153),0)))</x:f>
        <x:v/>
      </x:c>
      <x:c r="AS153" s="21"/>
    </x:row>
    <x:row r="154" spans="1:45" s="20" customFormat="1" ht="60" customHeight="1">
      <x:c r="A154" s="155" t="str">
        <x:f>IF(D154="","",COUNTA($C$7:C154)-COUNTBLANK($C$7:C154)+10)</x:f>
        <x:v/>
      </x:c>
      <x:c r="B154" s="156" t="str">
        <x: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x:f>
        <x:v/>
      </x:c>
      <x:c r="C154" s="156" t="str">
        <x:f>IF(D154="","",IF(OR(D154="교육지원과",D154="총무과",D154="인사과"),"직접입력",VLOOKUP(D154,구분표!$A$3:$C$258,3,)))</x:f>
        <x:v/>
      </x:c>
      <x:c r="D154" s="219"/>
      <x:c r="E154" s="213"/>
      <x:c r="F154" s="388" t="str">
        <x:f t="shared" si="116"/>
        <x:v/>
      </x:c>
      <x:c r="G154" s="388" t="str">
        <x:f t="shared" si="116"/>
        <x:v/>
      </x:c>
      <x:c r="H154" s="213"/>
      <x:c r="I154" s="156" t="str">
        <x:f>IF(H154="","",VLOOKUP($H154,구분표!$K$3:$M$151,2,FALSE))</x:f>
        <x:v/>
      </x:c>
      <x:c r="J154" s="156" t="str">
        <x:f>IF(I154="","",VLOOKUP($H154,구분표!$K$3:$M$151,3,FALSE))</x:f>
        <x:v/>
      </x:c>
      <x:c r="K154" s="233"/>
      <x:c r="L154" s="233"/>
      <x:c r="M154" s="459" t="str">
        <x:f t="shared" si="117"/>
        <x:v/>
      </x:c>
      <x:c r="N154" s="459" t="str">
        <x:f t="shared" si="118"/>
        <x:v/>
      </x:c>
      <x:c r="O154" s="461" t="str">
        <x:f t="shared" si="110"/>
        <x:v/>
      </x:c>
      <x:c r="P154" s="460"/>
      <x:c r="Q154" s="461">
        <x:f t="shared" si="111"/>
        <x:v>0</x:v>
      </x:c>
      <x:c r="R154" s="462"/>
      <x:c r="S154" s="463">
        <x:f t="shared" si="112"/>
        <x:v>0</x:v>
      </x:c>
      <x:c r="T154" s="162" t="str">
        <x:f t="shared" si="113"/>
        <x:v>X</x:v>
      </x:c>
      <x:c r="U154" s="220"/>
      <x:c r="V154" s="331"/>
      <x:c r="W154" s="221"/>
      <x:c r="X154" s="222"/>
      <x:c r="Y154" s="220"/>
      <x:c r="Z154" s="222"/>
      <x:c r="AA154" s="220"/>
      <x:c r="AC154" s="487">
        <x:f t="shared" si="114"/>
        <x:v>0</x:v>
      </x:c>
      <x:c r="AD154" s="487">
        <x:f t="shared" si="3"/>
        <x:v>0</x:v>
      </x:c>
      <x:c r="AE154" s="487">
        <x:f t="shared" si="4"/>
        <x:v>0</x:v>
      </x:c>
      <x:c r="AF154" s="374" t="str">
        <x:f t="shared" si="115"/>
        <x:v/>
      </x:c>
      <x:c r="AG154" s="165"/>
      <x:c r="AH154" s="487">
        <x:f t="shared" si="5"/>
        <x:v>0</x:v>
      </x:c>
      <x:c r="AI154" s="487">
        <x:f t="shared" si="6"/>
        <x:v>0</x:v>
      </x:c>
      <x:c r="AJ154" s="487">
        <x:f t="shared" si="7"/>
        <x:v>0</x:v>
      </x:c>
      <x:c r="AK154" s="374" t="str">
        <x:f t="shared" si="8"/>
        <x:v/>
      </x:c>
      <x:c r="AL154" s="8"/>
      <x:c r="AM154" s="533"/>
      <x:c r="AN154" s="374" t="str">
        <x:f>IF($AM154="","",IF($AM154="세입없음","OK",IF(COUNTIF('3. 일입'!$AN$8:$AN$2000,$AM154),"OK","@@")))</x:f>
        <x:v/>
      </x:c>
      <x:c r="AO154" s="356" t="str">
        <x:f t="shared" si="9"/>
        <x:v/>
      </x:c>
      <x:c r="AP154" s="374" t="str">
        <x:f t="shared" si="10"/>
        <x:v/>
      </x:c>
      <x:c r="AQ154" s="93"/>
      <x:c r="AR154" s="374" t="str">
        <x:f t="array" ref="AR154:AR154">IF(OR($D154="",$C154="직접입력",$B154="직접입력"),"",INDEX(구분표!$I$3:$I$321,MATCH(1,(구분표!$G$3:$G$321=$B154)*(구분표!$E$3:$E$321=$C154)*(구분표!$F$3:$F$321=$D154),0)))</x:f>
        <x:v/>
      </x:c>
      <x:c r="AS154" s="21"/>
    </x:row>
    <x:row r="155" spans="1:45" s="20" customFormat="1" ht="60" customHeight="1">
      <x:c r="A155" s="155" t="str">
        <x:f>IF(D155="","",COUNTA($C$7:C155)-COUNTBLANK($C$7:C155)+10)</x:f>
        <x:v/>
      </x:c>
      <x:c r="B155" s="156" t="str">
        <x: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x:f>
        <x:v/>
      </x:c>
      <x:c r="C155" s="156" t="str">
        <x:f>IF(D155="","",IF(OR(D155="교육지원과",D155="총무과",D155="인사과"),"직접입력",VLOOKUP(D155,구분표!$A$3:$C$258,3,)))</x:f>
        <x:v/>
      </x:c>
      <x:c r="D155" s="219"/>
      <x:c r="E155" s="213"/>
      <x:c r="F155" s="388" t="str">
        <x:f t="shared" si="116"/>
        <x:v/>
      </x:c>
      <x:c r="G155" s="388" t="str">
        <x:f t="shared" si="116"/>
        <x:v/>
      </x:c>
      <x:c r="H155" s="213"/>
      <x:c r="I155" s="156" t="str">
        <x:f>IF(H155="","",VLOOKUP($H155,구분표!$K$3:$M$151,2,FALSE))</x:f>
        <x:v/>
      </x:c>
      <x:c r="J155" s="156" t="str">
        <x:f>IF(I155="","",VLOOKUP($H155,구분표!$K$3:$M$151,3,FALSE))</x:f>
        <x:v/>
      </x:c>
      <x:c r="K155" s="233"/>
      <x:c r="L155" s="233"/>
      <x:c r="M155" s="459" t="str">
        <x:f t="shared" si="117"/>
        <x:v/>
      </x:c>
      <x:c r="N155" s="459" t="str">
        <x:f t="shared" si="118"/>
        <x:v/>
      </x:c>
      <x:c r="O155" s="461" t="str">
        <x:f t="shared" si="110"/>
        <x:v/>
      </x:c>
      <x:c r="P155" s="460"/>
      <x:c r="Q155" s="461">
        <x:f t="shared" si="111"/>
        <x:v>0</x:v>
      </x:c>
      <x:c r="R155" s="462"/>
      <x:c r="S155" s="463">
        <x:f t="shared" si="112"/>
        <x:v>0</x:v>
      </x:c>
      <x:c r="T155" s="162" t="str">
        <x:f t="shared" si="113"/>
        <x:v>X</x:v>
      </x:c>
      <x:c r="U155" s="220"/>
      <x:c r="V155" s="331"/>
      <x:c r="W155" s="221"/>
      <x:c r="X155" s="222"/>
      <x:c r="Y155" s="220"/>
      <x:c r="Z155" s="222"/>
      <x:c r="AA155" s="220"/>
      <x:c r="AC155" s="487">
        <x:f t="shared" si="114"/>
        <x:v>0</x:v>
      </x:c>
      <x:c r="AD155" s="487">
        <x:f t="shared" si="3"/>
        <x:v>0</x:v>
      </x:c>
      <x:c r="AE155" s="487">
        <x:f t="shared" si="4"/>
        <x:v>0</x:v>
      </x:c>
      <x:c r="AF155" s="374" t="str">
        <x:f t="shared" si="115"/>
        <x:v/>
      </x:c>
      <x:c r="AG155" s="165"/>
      <x:c r="AH155" s="487">
        <x:f t="shared" si="5"/>
        <x:v>0</x:v>
      </x:c>
      <x:c r="AI155" s="487">
        <x:f t="shared" si="6"/>
        <x:v>0</x:v>
      </x:c>
      <x:c r="AJ155" s="487">
        <x:f t="shared" si="7"/>
        <x:v>0</x:v>
      </x:c>
      <x:c r="AK155" s="374" t="str">
        <x:f t="shared" si="8"/>
        <x:v/>
      </x:c>
      <x:c r="AL155" s="8"/>
      <x:c r="AM155" s="533"/>
      <x:c r="AN155" s="374" t="str">
        <x:f>IF($AM155="","",IF($AM155="세입없음","OK",IF(COUNTIF('3. 일입'!$AN$8:$AN$2000,$AM155),"OK","@@")))</x:f>
        <x:v/>
      </x:c>
      <x:c r="AO155" s="356" t="str">
        <x:f t="shared" si="9"/>
        <x:v/>
      </x:c>
      <x:c r="AP155" s="374" t="str">
        <x:f t="shared" si="10"/>
        <x:v/>
      </x:c>
      <x:c r="AQ155" s="93"/>
      <x:c r="AR155" s="374" t="str">
        <x:f t="array" ref="AR155:AR155">IF(OR($D155="",$C155="직접입력",$B155="직접입력"),"",INDEX(구분표!$I$3:$I$321,MATCH(1,(구분표!$G$3:$G$321=$B155)*(구분표!$E$3:$E$321=$C155)*(구분표!$F$3:$F$321=$D155),0)))</x:f>
        <x:v/>
      </x:c>
      <x:c r="AS155" s="21"/>
    </x:row>
    <x:row r="156" spans="1:45" s="157" customFormat="1" ht="60" customHeight="1">
      <x:c r="A156" s="155" t="str">
        <x:f>IF(D156="","",COUNTA($C$7:C156)-COUNTBLANK($C$7:C156)+10)</x:f>
        <x:v/>
      </x:c>
      <x:c r="B156" s="156" t="str">
        <x: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x:f>
        <x:v/>
      </x:c>
      <x:c r="C156" s="156" t="str">
        <x:f>IF(D156="","",IF(OR(D156="교육지원과",D156="총무과",D156="인사과"),"직접입력",VLOOKUP(D156,구분표!$A$3:$C$258,3,)))</x:f>
        <x:v/>
      </x:c>
      <x:c r="D156" s="219"/>
      <x:c r="E156" s="213"/>
      <x:c r="F156" s="388" t="str">
        <x:f t="shared" si="116"/>
        <x:v/>
      </x:c>
      <x:c r="G156" s="388" t="str">
        <x:f t="shared" si="116"/>
        <x:v/>
      </x:c>
      <x:c r="H156" s="213"/>
      <x:c r="I156" s="156" t="str">
        <x:f>IF(H156="","",VLOOKUP($H156,구분표!$K$3:$M$151,2,FALSE))</x:f>
        <x:v/>
      </x:c>
      <x:c r="J156" s="156" t="str">
        <x:f>IF(I156="","",VLOOKUP($H156,구분표!$K$3:$M$151,3,FALSE))</x:f>
        <x:v/>
      </x:c>
      <x:c r="K156" s="233"/>
      <x:c r="L156" s="233"/>
      <x:c r="M156" s="459" t="str">
        <x:f t="shared" si="117"/>
        <x:v/>
      </x:c>
      <x:c r="N156" s="459" t="str">
        <x:f t="shared" si="118"/>
        <x:v/>
      </x:c>
      <x:c r="O156" s="461" t="str">
        <x:f t="shared" si="110"/>
        <x:v/>
      </x:c>
      <x:c r="P156" s="460"/>
      <x:c r="Q156" s="461">
        <x:f t="shared" si="111"/>
        <x:v>0</x:v>
      </x:c>
      <x:c r="R156" s="462"/>
      <x:c r="S156" s="463">
        <x:f t="shared" si="112"/>
        <x:v>0</x:v>
      </x:c>
      <x:c r="T156" s="162" t="str">
        <x:f t="shared" si="113"/>
        <x:v>X</x:v>
      </x:c>
      <x:c r="U156" s="220"/>
      <x:c r="V156" s="331"/>
      <x:c r="W156" s="221"/>
      <x:c r="X156" s="222"/>
      <x:c r="Y156" s="220"/>
      <x:c r="Z156" s="222"/>
      <x:c r="AA156" s="220"/>
      <x:c r="AB156" s="20"/>
      <x:c r="AC156" s="487">
        <x:f t="shared" si="114"/>
        <x:v>0</x:v>
      </x:c>
      <x:c r="AD156" s="487">
        <x:f t="shared" si="3"/>
        <x:v>0</x:v>
      </x:c>
      <x:c r="AE156" s="487">
        <x:f t="shared" si="4"/>
        <x:v>0</x:v>
      </x:c>
      <x:c r="AF156" s="374" t="str">
        <x:f t="shared" si="115"/>
        <x:v/>
      </x:c>
      <x:c r="AG156" s="165"/>
      <x:c r="AH156" s="487">
        <x:f t="shared" si="5"/>
        <x:v>0</x:v>
      </x:c>
      <x:c r="AI156" s="487">
        <x:f t="shared" si="6"/>
        <x:v>0</x:v>
      </x:c>
      <x:c r="AJ156" s="487">
        <x:f t="shared" si="7"/>
        <x:v>0</x:v>
      </x:c>
      <x:c r="AK156" s="374" t="str">
        <x:f t="shared" si="8"/>
        <x:v/>
      </x:c>
      <x:c r="AL156" s="8"/>
      <x:c r="AM156" s="533"/>
      <x:c r="AN156" s="374" t="str">
        <x:f>IF($AM156="","",IF($AM156="세입없음","OK",IF(COUNTIF('3. 일입'!$AN$8:$AN$2000,$AM156),"OK","@@")))</x:f>
        <x:v/>
      </x:c>
      <x:c r="AO156" s="356" t="str">
        <x:f t="shared" si="9"/>
        <x:v/>
      </x:c>
      <x:c r="AP156" s="374" t="str">
        <x:f t="shared" si="10"/>
        <x:v/>
      </x:c>
      <x:c r="AQ156" s="93"/>
      <x:c r="AR156" s="374" t="str">
        <x:f t="array" ref="AR156:AR156">IF(OR($D156="",$C156="직접입력",$B156="직접입력"),"",INDEX(구분표!$I$3:$I$321,MATCH(1,(구분표!$G$3:$G$321=$B156)*(구분표!$E$3:$E$321=$C156)*(구분표!$F$3:$F$321=$D156),0)))</x:f>
        <x:v/>
      </x:c>
      <x:c r="AS156" s="21"/>
    </x:row>
    <x:row r="157" spans="1:45" s="20" customFormat="1" ht="60" customHeight="1">
      <x:c r="A157" s="155" t="str">
        <x:f>IF(D157="","",COUNTA($C$7:C157)-COUNTBLANK($C$7:C157)+10)</x:f>
        <x:v/>
      </x:c>
      <x:c r="B157" s="156" t="str">
        <x: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x:f>
        <x:v/>
      </x:c>
      <x:c r="C157" s="156" t="str">
        <x:f>IF(D157="","",IF(OR(D157="교육지원과",D157="총무과",D157="인사과"),"직접입력",VLOOKUP(D157,구분표!$A$3:$C$258,3,)))</x:f>
        <x:v/>
      </x:c>
      <x:c r="D157" s="219"/>
      <x:c r="E157" s="213"/>
      <x:c r="F157" s="388" t="str">
        <x:f t="shared" si="116"/>
        <x:v/>
      </x:c>
      <x:c r="G157" s="388" t="str">
        <x:f t="shared" si="116"/>
        <x:v/>
      </x:c>
      <x:c r="H157" s="213"/>
      <x:c r="I157" s="156" t="str">
        <x:f>IF(H157="","",VLOOKUP($H157,구분표!$K$3:$M$151,2,FALSE))</x:f>
        <x:v/>
      </x:c>
      <x:c r="J157" s="156" t="str">
        <x:f>IF(I157="","",VLOOKUP($H157,구분표!$K$3:$M$151,3,FALSE))</x:f>
        <x:v/>
      </x:c>
      <x:c r="K157" s="233"/>
      <x:c r="L157" s="233"/>
      <x:c r="M157" s="459" t="str">
        <x:f t="shared" si="117"/>
        <x:v/>
      </x:c>
      <x:c r="N157" s="459" t="str">
        <x:f t="shared" si="118"/>
        <x:v/>
      </x:c>
      <x:c r="O157" s="461" t="str">
        <x:f t="shared" si="110"/>
        <x:v/>
      </x:c>
      <x:c r="P157" s="460"/>
      <x:c r="Q157" s="461">
        <x:f t="shared" si="111"/>
        <x:v>0</x:v>
      </x:c>
      <x:c r="R157" s="462"/>
      <x:c r="S157" s="463">
        <x:f t="shared" si="112"/>
        <x:v>0</x:v>
      </x:c>
      <x:c r="T157" s="162" t="str">
        <x:f t="shared" si="113"/>
        <x:v>X</x:v>
      </x:c>
      <x:c r="U157" s="220"/>
      <x:c r="V157" s="331"/>
      <x:c r="W157" s="221"/>
      <x:c r="X157" s="222"/>
      <x:c r="Y157" s="220"/>
      <x:c r="Z157" s="222"/>
      <x:c r="AA157" s="220"/>
      <x:c r="AC157" s="487">
        <x:f t="shared" si="114"/>
        <x:v>0</x:v>
      </x:c>
      <x:c r="AD157" s="487">
        <x:f t="shared" si="3"/>
        <x:v>0</x:v>
      </x:c>
      <x:c r="AE157" s="487">
        <x:f t="shared" si="4"/>
        <x:v>0</x:v>
      </x:c>
      <x:c r="AF157" s="374" t="str">
        <x:f t="shared" si="115"/>
        <x:v/>
      </x:c>
      <x:c r="AG157" s="165"/>
      <x:c r="AH157" s="487">
        <x:f t="shared" si="5"/>
        <x:v>0</x:v>
      </x:c>
      <x:c r="AI157" s="487">
        <x:f t="shared" si="6"/>
        <x:v>0</x:v>
      </x:c>
      <x:c r="AJ157" s="487">
        <x:f t="shared" si="7"/>
        <x:v>0</x:v>
      </x:c>
      <x:c r="AK157" s="374" t="str">
        <x:f t="shared" si="8"/>
        <x:v/>
      </x:c>
      <x:c r="AL157" s="8"/>
      <x:c r="AM157" s="533"/>
      <x:c r="AN157" s="374" t="str">
        <x:f>IF($AM157="","",IF($AM157="세입없음","OK",IF(COUNTIF('3. 일입'!$AN$8:$AN$2000,$AM157),"OK","@@")))</x:f>
        <x:v/>
      </x:c>
      <x:c r="AO157" s="356" t="str">
        <x:f t="shared" si="9"/>
        <x:v/>
      </x:c>
      <x:c r="AP157" s="374" t="str">
        <x:f t="shared" si="10"/>
        <x:v/>
      </x:c>
      <x:c r="AQ157" s="93"/>
      <x:c r="AR157" s="374" t="str">
        <x:f t="array" ref="AR157:AR157">IF(OR($D157="",$C157="직접입력",$B157="직접입력"),"",INDEX(구분표!$I$3:$I$321,MATCH(1,(구분표!$G$3:$G$321=$B157)*(구분표!$E$3:$E$321=$C157)*(구분표!$F$3:$F$321=$D157),0)))</x:f>
        <x:v/>
      </x:c>
      <x:c r="AS157" s="21"/>
    </x:row>
    <x:row r="158" spans="1:45" s="20" customFormat="1" ht="60" customHeight="1">
      <x:c r="A158" s="155" t="str">
        <x:f>IF(D158="","",COUNTA($C$7:C158)-COUNTBLANK($C$7:C158)+10)</x:f>
        <x:v/>
      </x:c>
      <x:c r="B158" s="156" t="str">
        <x: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x:f>
        <x:v/>
      </x:c>
      <x:c r="C158" s="156" t="str">
        <x:f>IF(D158="","",IF(OR(D158="교육지원과",D158="총무과",D158="인사과"),"직접입력",VLOOKUP(D158,구분표!$A$3:$C$258,3,)))</x:f>
        <x:v/>
      </x:c>
      <x:c r="D158" s="219"/>
      <x:c r="E158" s="213"/>
      <x:c r="F158" s="388" t="str">
        <x:f t="shared" si="116"/>
        <x:v/>
      </x:c>
      <x:c r="G158" s="388" t="str">
        <x:f t="shared" si="116"/>
        <x:v/>
      </x:c>
      <x:c r="H158" s="213"/>
      <x:c r="I158" s="156" t="str">
        <x:f>IF(H158="","",VLOOKUP($H158,구분표!$K$3:$M$151,2,FALSE))</x:f>
        <x:v/>
      </x:c>
      <x:c r="J158" s="156" t="str">
        <x:f>IF(I158="","",VLOOKUP($H158,구분표!$K$3:$M$151,3,FALSE))</x:f>
        <x:v/>
      </x:c>
      <x:c r="K158" s="233"/>
      <x:c r="L158" s="233"/>
      <x:c r="M158" s="459" t="str">
        <x:f t="shared" si="117"/>
        <x:v/>
      </x:c>
      <x:c r="N158" s="459" t="str">
        <x:f t="shared" si="118"/>
        <x:v/>
      </x:c>
      <x:c r="O158" s="461" t="str">
        <x:f t="shared" si="110"/>
        <x:v/>
      </x:c>
      <x:c r="P158" s="460"/>
      <x:c r="Q158" s="461">
        <x:f t="shared" si="111"/>
        <x:v>0</x:v>
      </x:c>
      <x:c r="R158" s="462"/>
      <x:c r="S158" s="463">
        <x:f t="shared" si="112"/>
        <x:v>0</x:v>
      </x:c>
      <x:c r="T158" s="162" t="str">
        <x:f t="shared" si="113"/>
        <x:v>X</x:v>
      </x:c>
      <x:c r="U158" s="220"/>
      <x:c r="V158" s="331"/>
      <x:c r="W158" s="221"/>
      <x:c r="X158" s="222"/>
      <x:c r="Y158" s="220"/>
      <x:c r="Z158" s="222"/>
      <x:c r="AA158" s="220"/>
      <x:c r="AC158" s="487">
        <x:f t="shared" si="114"/>
        <x:v>0</x:v>
      </x:c>
      <x:c r="AD158" s="487">
        <x:f t="shared" si="3"/>
        <x:v>0</x:v>
      </x:c>
      <x:c r="AE158" s="487">
        <x:f t="shared" si="4"/>
        <x:v>0</x:v>
      </x:c>
      <x:c r="AF158" s="374" t="str">
        <x:f t="shared" si="115"/>
        <x:v/>
      </x:c>
      <x:c r="AG158" s="165"/>
      <x:c r="AH158" s="487">
        <x:f t="shared" si="5"/>
        <x:v>0</x:v>
      </x:c>
      <x:c r="AI158" s="487">
        <x:f t="shared" si="6"/>
        <x:v>0</x:v>
      </x:c>
      <x:c r="AJ158" s="487">
        <x:f t="shared" si="7"/>
        <x:v>0</x:v>
      </x:c>
      <x:c r="AK158" s="374" t="str">
        <x:f t="shared" si="8"/>
        <x:v/>
      </x:c>
      <x:c r="AL158" s="8"/>
      <x:c r="AM158" s="533"/>
      <x:c r="AN158" s="374" t="str">
        <x:f>IF($AM158="","",IF($AM158="세입없음","OK",IF(COUNTIF('3. 일입'!$AN$8:$AN$2000,$AM158),"OK","@@")))</x:f>
        <x:v/>
      </x:c>
      <x:c r="AO158" s="356" t="str">
        <x:f t="shared" si="9"/>
        <x:v/>
      </x:c>
      <x:c r="AP158" s="374" t="str">
        <x:f t="shared" si="10"/>
        <x:v/>
      </x:c>
      <x:c r="AQ158" s="93"/>
      <x:c r="AR158" s="374" t="str">
        <x:f t="array" ref="AR158:AR158">IF(OR($D158="",$C158="직접입력",$B158="직접입력"),"",INDEX(구분표!$I$3:$I$321,MATCH(1,(구분표!$G$3:$G$321=$B158)*(구분표!$E$3:$E$321=$C158)*(구분표!$F$3:$F$321=$D158),0)))</x:f>
        <x:v/>
      </x:c>
      <x:c r="AS158" s="21"/>
    </x:row>
    <x:row r="159" spans="1:45" s="20" customFormat="1" ht="60" customHeight="1">
      <x:c r="A159" s="155" t="str">
        <x:f>IF(D159="","",COUNTA($C$7:C159)-COUNTBLANK($C$7:C159)+10)</x:f>
        <x:v/>
      </x:c>
      <x:c r="B159" s="156" t="str">
        <x: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x:f>
        <x:v/>
      </x:c>
      <x:c r="C159" s="156" t="str">
        <x:f>IF(D159="","",IF(OR(D159="교육지원과",D159="총무과",D159="인사과"),"직접입력",VLOOKUP(D159,구분표!$A$3:$C$258,3,)))</x:f>
        <x:v/>
      </x:c>
      <x:c r="D159" s="219"/>
      <x:c r="E159" s="213"/>
      <x:c r="F159" s="388" t="str">
        <x:f t="shared" si="116"/>
        <x:v/>
      </x:c>
      <x:c r="G159" s="388" t="str">
        <x:f t="shared" si="116"/>
        <x:v/>
      </x:c>
      <x:c r="H159" s="213"/>
      <x:c r="I159" s="156" t="str">
        <x:f>IF(H159="","",VLOOKUP($H159,구분표!$K$3:$M$151,2,FALSE))</x:f>
        <x:v/>
      </x:c>
      <x:c r="J159" s="156" t="str">
        <x:f>IF(I159="","",VLOOKUP($H159,구분표!$K$3:$M$151,3,FALSE))</x:f>
        <x:v/>
      </x:c>
      <x:c r="K159" s="233"/>
      <x:c r="L159" s="233"/>
      <x:c r="M159" s="459" t="str">
        <x:f t="shared" si="117"/>
        <x:v/>
      </x:c>
      <x:c r="N159" s="459" t="str">
        <x:f t="shared" si="118"/>
        <x:v/>
      </x:c>
      <x:c r="O159" s="461" t="str">
        <x:f t="shared" si="110"/>
        <x:v/>
      </x:c>
      <x:c r="P159" s="460"/>
      <x:c r="Q159" s="461">
        <x:f t="shared" si="111"/>
        <x:v>0</x:v>
      </x:c>
      <x:c r="R159" s="462"/>
      <x:c r="S159" s="463">
        <x:f t="shared" si="112"/>
        <x:v>0</x:v>
      </x:c>
      <x:c r="T159" s="162" t="str">
        <x:f t="shared" si="113"/>
        <x:v>X</x:v>
      </x:c>
      <x:c r="U159" s="220"/>
      <x:c r="V159" s="331"/>
      <x:c r="W159" s="221"/>
      <x:c r="X159" s="222"/>
      <x:c r="Y159" s="220"/>
      <x:c r="Z159" s="222"/>
      <x:c r="AA159" s="220"/>
      <x:c r="AC159" s="487">
        <x:f t="shared" si="114"/>
        <x:v>0</x:v>
      </x:c>
      <x:c r="AD159" s="487">
        <x:f t="shared" si="3"/>
        <x:v>0</x:v>
      </x:c>
      <x:c r="AE159" s="487">
        <x:f t="shared" si="4"/>
        <x:v>0</x:v>
      </x:c>
      <x:c r="AF159" s="374" t="str">
        <x:f t="shared" si="115"/>
        <x:v/>
      </x:c>
      <x:c r="AG159" s="165"/>
      <x:c r="AH159" s="487">
        <x:f t="shared" si="5"/>
        <x:v>0</x:v>
      </x:c>
      <x:c r="AI159" s="487">
        <x:f t="shared" si="6"/>
        <x:v>0</x:v>
      </x:c>
      <x:c r="AJ159" s="487">
        <x:f t="shared" si="7"/>
        <x:v>0</x:v>
      </x:c>
      <x:c r="AK159" s="374" t="str">
        <x:f t="shared" si="8"/>
        <x:v/>
      </x:c>
      <x:c r="AL159" s="8"/>
      <x:c r="AM159" s="533"/>
      <x:c r="AN159" s="374" t="str">
        <x:f>IF($AM159="","",IF($AM159="세입없음","OK",IF(COUNTIF('3. 일입'!$AN$8:$AN$2000,$AM159),"OK","@@")))</x:f>
        <x:v/>
      </x:c>
      <x:c r="AO159" s="356" t="str">
        <x:f t="shared" si="9"/>
        <x:v/>
      </x:c>
      <x:c r="AP159" s="374" t="str">
        <x:f t="shared" si="10"/>
        <x:v/>
      </x:c>
      <x:c r="AQ159" s="93"/>
      <x:c r="AR159" s="374" t="str">
        <x:f t="array" ref="AR159:AR159">IF(OR($D159="",$C159="직접입력",$B159="직접입력"),"",INDEX(구분표!$I$3:$I$321,MATCH(1,(구분표!$G$3:$G$321=$B159)*(구분표!$E$3:$E$321=$C159)*(구분표!$F$3:$F$321=$D159),0)))</x:f>
        <x:v/>
      </x:c>
      <x:c r="AS159" s="21"/>
    </x:row>
    <x:row r="160" spans="1:45" s="20" customFormat="1" ht="60" customHeight="1">
      <x:c r="A160" s="155" t="str">
        <x:f>IF(D160="","",COUNTA($C$7:C160)-COUNTBLANK($C$7:C160)+10)</x:f>
        <x:v/>
      </x:c>
      <x:c r="B160" s="156" t="str">
        <x: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x:f>
        <x:v/>
      </x:c>
      <x:c r="C160" s="156" t="str">
        <x:f>IF(D160="","",IF(OR(D160="교육지원과",D160="총무과",D160="인사과"),"직접입력",VLOOKUP(D160,구분표!$A$3:$C$258,3,)))</x:f>
        <x:v/>
      </x:c>
      <x:c r="D160" s="219"/>
      <x:c r="E160" s="213"/>
      <x:c r="F160" s="388" t="str">
        <x:f t="shared" si="116"/>
        <x:v/>
      </x:c>
      <x:c r="G160" s="388" t="str">
        <x:f t="shared" si="116"/>
        <x:v/>
      </x:c>
      <x:c r="H160" s="213"/>
      <x:c r="I160" s="156" t="str">
        <x:f>IF(H160="","",VLOOKUP($H160,구분표!$K$3:$M$151,2,FALSE))</x:f>
        <x:v/>
      </x:c>
      <x:c r="J160" s="156" t="str">
        <x:f>IF(I160="","",VLOOKUP($H160,구분표!$K$3:$M$151,3,FALSE))</x:f>
        <x:v/>
      </x:c>
      <x:c r="K160" s="233"/>
      <x:c r="L160" s="233"/>
      <x:c r="M160" s="459" t="str">
        <x:f t="shared" si="117"/>
        <x:v/>
      </x:c>
      <x:c r="N160" s="459" t="str">
        <x:f t="shared" si="118"/>
        <x:v/>
      </x:c>
      <x:c r="O160" s="461" t="str">
        <x:f t="shared" si="110"/>
        <x:v/>
      </x:c>
      <x:c r="P160" s="460"/>
      <x:c r="Q160" s="461">
        <x:f t="shared" si="111"/>
        <x:v>0</x:v>
      </x:c>
      <x:c r="R160" s="462"/>
      <x:c r="S160" s="463">
        <x:f t="shared" si="112"/>
        <x:v>0</x:v>
      </x:c>
      <x:c r="T160" s="162" t="str">
        <x:f t="shared" si="113"/>
        <x:v>X</x:v>
      </x:c>
      <x:c r="U160" s="220"/>
      <x:c r="V160" s="331"/>
      <x:c r="W160" s="221"/>
      <x:c r="X160" s="222"/>
      <x:c r="Y160" s="220"/>
      <x:c r="Z160" s="222"/>
      <x:c r="AA160" s="220"/>
      <x:c r="AC160" s="487">
        <x:f t="shared" si="114"/>
        <x:v>0</x:v>
      </x:c>
      <x:c r="AD160" s="487">
        <x:f t="shared" si="3"/>
        <x:v>0</x:v>
      </x:c>
      <x:c r="AE160" s="487">
        <x:f t="shared" si="4"/>
        <x:v>0</x:v>
      </x:c>
      <x:c r="AF160" s="374" t="str">
        <x:f t="shared" si="115"/>
        <x:v/>
      </x:c>
      <x:c r="AG160" s="165"/>
      <x:c r="AH160" s="487">
        <x:f t="shared" si="5"/>
        <x:v>0</x:v>
      </x:c>
      <x:c r="AI160" s="487">
        <x:f t="shared" si="6"/>
        <x:v>0</x:v>
      </x:c>
      <x:c r="AJ160" s="487">
        <x:f t="shared" si="7"/>
        <x:v>0</x:v>
      </x:c>
      <x:c r="AK160" s="374" t="str">
        <x:f t="shared" si="8"/>
        <x:v/>
      </x:c>
      <x:c r="AL160" s="8"/>
      <x:c r="AM160" s="533"/>
      <x:c r="AN160" s="374" t="str">
        <x:f>IF($AM160="","",IF($AM160="세입없음","OK",IF(COUNTIF('3. 일입'!$AN$8:$AN$2000,$AM160),"OK","@@")))</x:f>
        <x:v/>
      </x:c>
      <x:c r="AO160" s="356" t="str">
        <x:f t="shared" si="9"/>
        <x:v/>
      </x:c>
      <x:c r="AP160" s="374" t="str">
        <x:f t="shared" si="10"/>
        <x:v/>
      </x:c>
      <x:c r="AQ160" s="93"/>
      <x:c r="AR160" s="374" t="str">
        <x:f t="array" ref="AR160:AR160">IF(OR($D160="",$C160="직접입력",$B160="직접입력"),"",INDEX(구분표!$I$3:$I$321,MATCH(1,(구분표!$G$3:$G$321=$B160)*(구분표!$E$3:$E$321=$C160)*(구분표!$F$3:$F$321=$D160),0)))</x:f>
        <x:v/>
      </x:c>
      <x:c r="AS160" s="21"/>
    </x:row>
    <x:row r="161" spans="1:45" s="157" customFormat="1" ht="60" customHeight="1">
      <x:c r="A161" s="155" t="str">
        <x:f>IF(D161="","",COUNTA($C$7:C161)-COUNTBLANK($C$7:C161)+10)</x:f>
        <x:v/>
      </x:c>
      <x:c r="B161" s="156" t="str">
        <x: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x:f>
        <x:v/>
      </x:c>
      <x:c r="C161" s="156" t="str">
        <x:f>IF(D161="","",IF(OR(D161="교육지원과",D161="총무과",D161="인사과"),"직접입력",VLOOKUP(D161,구분표!$A$3:$C$258,3,)))</x:f>
        <x:v/>
      </x:c>
      <x:c r="D161" s="219"/>
      <x:c r="E161" s="213"/>
      <x:c r="F161" s="388" t="str">
        <x:f t="shared" si="116"/>
        <x:v/>
      </x:c>
      <x:c r="G161" s="388" t="str">
        <x:f t="shared" si="116"/>
        <x:v/>
      </x:c>
      <x:c r="H161" s="213"/>
      <x:c r="I161" s="156" t="str">
        <x:f>IF(H161="","",VLOOKUP($H161,구분표!$K$3:$M$151,2,FALSE))</x:f>
        <x:v/>
      </x:c>
      <x:c r="J161" s="156" t="str">
        <x:f>IF(I161="","",VLOOKUP($H161,구분표!$K$3:$M$151,3,FALSE))</x:f>
        <x:v/>
      </x:c>
      <x:c r="K161" s="233"/>
      <x:c r="L161" s="233"/>
      <x:c r="M161" s="459" t="str">
        <x:f t="shared" si="117"/>
        <x:v/>
      </x:c>
      <x:c r="N161" s="459" t="str">
        <x:f t="shared" si="118"/>
        <x:v/>
      </x:c>
      <x:c r="O161" s="461" t="str">
        <x:f t="shared" si="110"/>
        <x:v/>
      </x:c>
      <x:c r="P161" s="460"/>
      <x:c r="Q161" s="461">
        <x:f t="shared" si="111"/>
        <x:v>0</x:v>
      </x:c>
      <x:c r="R161" s="462"/>
      <x:c r="S161" s="463">
        <x:f t="shared" si="112"/>
        <x:v>0</x:v>
      </x:c>
      <x:c r="T161" s="162" t="str">
        <x:f t="shared" si="113"/>
        <x:v>X</x:v>
      </x:c>
      <x:c r="U161" s="220"/>
      <x:c r="V161" s="331"/>
      <x:c r="W161" s="221"/>
      <x:c r="X161" s="222"/>
      <x:c r="Y161" s="220"/>
      <x:c r="Z161" s="222"/>
      <x:c r="AA161" s="220"/>
      <x:c r="AB161" s="20"/>
      <x:c r="AC161" s="487">
        <x:f t="shared" si="114"/>
        <x:v>0</x:v>
      </x:c>
      <x:c r="AD161" s="487">
        <x:f t="shared" si="3"/>
        <x:v>0</x:v>
      </x:c>
      <x:c r="AE161" s="487">
        <x:f t="shared" si="4"/>
        <x:v>0</x:v>
      </x:c>
      <x:c r="AF161" s="374" t="str">
        <x:f t="shared" si="115"/>
        <x:v/>
      </x:c>
      <x:c r="AG161" s="165"/>
      <x:c r="AH161" s="487">
        <x:f t="shared" si="5"/>
        <x:v>0</x:v>
      </x:c>
      <x:c r="AI161" s="487">
        <x:f t="shared" si="6"/>
        <x:v>0</x:v>
      </x:c>
      <x:c r="AJ161" s="487">
        <x:f t="shared" si="7"/>
        <x:v>0</x:v>
      </x:c>
      <x:c r="AK161" s="374" t="str">
        <x:f t="shared" si="8"/>
        <x:v/>
      </x:c>
      <x:c r="AL161" s="8"/>
      <x:c r="AM161" s="533"/>
      <x:c r="AN161" s="374" t="str">
        <x:f>IF($AM161="","",IF($AM161="세입없음","OK",IF(COUNTIF('3. 일입'!$AN$8:$AN$2000,$AM161),"OK","@@")))</x:f>
        <x:v/>
      </x:c>
      <x:c r="AO161" s="356" t="str">
        <x:f t="shared" si="9"/>
        <x:v/>
      </x:c>
      <x:c r="AP161" s="374" t="str">
        <x:f t="shared" si="10"/>
        <x:v/>
      </x:c>
      <x:c r="AQ161" s="93"/>
      <x:c r="AR161" s="374" t="str">
        <x:f t="array" ref="AR161:AR161">IF(OR($D161="",$C161="직접입력",$B161="직접입력"),"",INDEX(구분표!$I$3:$I$321,MATCH(1,(구분표!$G$3:$G$321=$B161)*(구분표!$E$3:$E$321=$C161)*(구분표!$F$3:$F$321=$D161),0)))</x:f>
        <x:v/>
      </x:c>
      <x:c r="AS161" s="21"/>
    </x:row>
    <x:row r="162" spans="1:45" s="20" customFormat="1" ht="60" customHeight="1">
      <x:c r="A162" s="155" t="str">
        <x:f>IF(D162="","",COUNTA($C$7:C162)-COUNTBLANK($C$7:C162)+10)</x:f>
        <x:v/>
      </x:c>
      <x:c r="B162" s="156" t="str">
        <x: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x:f>
        <x:v/>
      </x:c>
      <x:c r="C162" s="156" t="str">
        <x:f>IF(D162="","",IF(OR(D162="교육지원과",D162="총무과",D162="인사과"),"직접입력",VLOOKUP(D162,구분표!$A$3:$C$258,3,)))</x:f>
        <x:v/>
      </x:c>
      <x:c r="D162" s="219"/>
      <x:c r="E162" s="213"/>
      <x:c r="F162" s="388" t="str">
        <x:f t="shared" si="116"/>
        <x:v/>
      </x:c>
      <x:c r="G162" s="388" t="str">
        <x:f t="shared" si="116"/>
        <x:v/>
      </x:c>
      <x:c r="H162" s="213"/>
      <x:c r="I162" s="156" t="str">
        <x:f>IF(H162="","",VLOOKUP($H162,구분표!$K$3:$M$151,2,FALSE))</x:f>
        <x:v/>
      </x:c>
      <x:c r="J162" s="156" t="str">
        <x:f>IF(I162="","",VLOOKUP($H162,구분표!$K$3:$M$151,3,FALSE))</x:f>
        <x:v/>
      </x:c>
      <x:c r="K162" s="233"/>
      <x:c r="L162" s="233"/>
      <x:c r="M162" s="459" t="str">
        <x:f t="shared" si="117"/>
        <x:v/>
      </x:c>
      <x:c r="N162" s="459" t="str">
        <x:f t="shared" si="118"/>
        <x:v/>
      </x:c>
      <x:c r="O162" s="461" t="str">
        <x:f t="shared" si="110"/>
        <x:v/>
      </x:c>
      <x:c r="P162" s="460"/>
      <x:c r="Q162" s="461">
        <x:f t="shared" si="111"/>
        <x:v>0</x:v>
      </x:c>
      <x:c r="R162" s="462"/>
      <x:c r="S162" s="463">
        <x:f t="shared" si="112"/>
        <x:v>0</x:v>
      </x:c>
      <x:c r="T162" s="162" t="str">
        <x:f t="shared" si="113"/>
        <x:v>X</x:v>
      </x:c>
      <x:c r="U162" s="220"/>
      <x:c r="V162" s="331"/>
      <x:c r="W162" s="221"/>
      <x:c r="X162" s="222"/>
      <x:c r="Y162" s="220"/>
      <x:c r="Z162" s="222"/>
      <x:c r="AA162" s="220"/>
      <x:c r="AC162" s="487">
        <x:f t="shared" si="114"/>
        <x:v>0</x:v>
      </x:c>
      <x:c r="AD162" s="487">
        <x:f t="shared" si="3"/>
        <x:v>0</x:v>
      </x:c>
      <x:c r="AE162" s="487">
        <x:f t="shared" si="4"/>
        <x:v>0</x:v>
      </x:c>
      <x:c r="AF162" s="374" t="str">
        <x:f t="shared" si="115"/>
        <x:v/>
      </x:c>
      <x:c r="AG162" s="165"/>
      <x:c r="AH162" s="487">
        <x:f t="shared" si="5"/>
        <x:v>0</x:v>
      </x:c>
      <x:c r="AI162" s="487">
        <x:f t="shared" si="6"/>
        <x:v>0</x:v>
      </x:c>
      <x:c r="AJ162" s="487">
        <x:f t="shared" si="7"/>
        <x:v>0</x:v>
      </x:c>
      <x:c r="AK162" s="374" t="str">
        <x:f t="shared" si="8"/>
        <x:v/>
      </x:c>
      <x:c r="AL162" s="8"/>
      <x:c r="AM162" s="533"/>
      <x:c r="AN162" s="374" t="str">
        <x:f>IF($AM162="","",IF($AM162="세입없음","OK",IF(COUNTIF('3. 일입'!$AN$8:$AN$2000,$AM162),"OK","@@")))</x:f>
        <x:v/>
      </x:c>
      <x:c r="AO162" s="356" t="str">
        <x:f t="shared" si="9"/>
        <x:v/>
      </x:c>
      <x:c r="AP162" s="374" t="str">
        <x:f t="shared" si="10"/>
        <x:v/>
      </x:c>
      <x:c r="AQ162" s="93"/>
      <x:c r="AR162" s="374" t="str">
        <x:f t="array" ref="AR162:AR162">IF(OR($D162="",$C162="직접입력",$B162="직접입력"),"",INDEX(구분표!$I$3:$I$321,MATCH(1,(구분표!$G$3:$G$321=$B162)*(구분표!$E$3:$E$321=$C162)*(구분표!$F$3:$F$321=$D162),0)))</x:f>
        <x:v/>
      </x:c>
      <x:c r="AS162" s="21"/>
    </x:row>
    <x:row r="163" spans="1:45" s="20" customFormat="1" ht="60" customHeight="1">
      <x:c r="A163" s="155" t="str">
        <x:f>IF(D163="","",COUNTA($C$7:C163)-COUNTBLANK($C$7:C163)+10)</x:f>
        <x:v/>
      </x:c>
      <x:c r="B163" s="156" t="str">
        <x: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x:f>
        <x:v/>
      </x:c>
      <x:c r="C163" s="156" t="str">
        <x:f>IF(D163="","",IF(OR(D163="교육지원과",D163="총무과",D163="인사과"),"직접입력",VLOOKUP(D163,구분표!$A$3:$C$258,3,)))</x:f>
        <x:v/>
      </x:c>
      <x:c r="D163" s="219"/>
      <x:c r="E163" s="213"/>
      <x:c r="F163" s="388" t="str">
        <x:f t="shared" si="116"/>
        <x:v/>
      </x:c>
      <x:c r="G163" s="388" t="str">
        <x:f t="shared" si="116"/>
        <x:v/>
      </x:c>
      <x:c r="H163" s="213"/>
      <x:c r="I163" s="156" t="str">
        <x:f>IF(H163="","",VLOOKUP($H163,구분표!$K$3:$M$151,2,FALSE))</x:f>
        <x:v/>
      </x:c>
      <x:c r="J163" s="156" t="str">
        <x:f>IF(I163="","",VLOOKUP($H163,구분표!$K$3:$M$151,3,FALSE))</x:f>
        <x:v/>
      </x:c>
      <x:c r="K163" s="233"/>
      <x:c r="L163" s="233"/>
      <x:c r="M163" s="459" t="str">
        <x:f t="shared" si="117"/>
        <x:v/>
      </x:c>
      <x:c r="N163" s="459" t="str">
        <x:f t="shared" si="118"/>
        <x:v/>
      </x:c>
      <x:c r="O163" s="461" t="str">
        <x:f t="shared" si="110"/>
        <x:v/>
      </x:c>
      <x:c r="P163" s="460"/>
      <x:c r="Q163" s="461">
        <x:f t="shared" si="111"/>
        <x:v>0</x:v>
      </x:c>
      <x:c r="R163" s="462"/>
      <x:c r="S163" s="463">
        <x:f t="shared" si="112"/>
        <x:v>0</x:v>
      </x:c>
      <x:c r="T163" s="162" t="str">
        <x:f t="shared" si="113"/>
        <x:v>X</x:v>
      </x:c>
      <x:c r="U163" s="220"/>
      <x:c r="V163" s="331"/>
      <x:c r="W163" s="221"/>
      <x:c r="X163" s="222"/>
      <x:c r="Y163" s="220"/>
      <x:c r="Z163" s="222"/>
      <x:c r="AA163" s="220"/>
      <x:c r="AC163" s="487">
        <x:f t="shared" si="114"/>
        <x:v>0</x:v>
      </x:c>
      <x:c r="AD163" s="487">
        <x:f t="shared" si="3"/>
        <x:v>0</x:v>
      </x:c>
      <x:c r="AE163" s="487">
        <x:f t="shared" si="4"/>
        <x:v>0</x:v>
      </x:c>
      <x:c r="AF163" s="374" t="str">
        <x:f t="shared" si="115"/>
        <x:v/>
      </x:c>
      <x:c r="AG163" s="165"/>
      <x:c r="AH163" s="487">
        <x:f t="shared" si="5"/>
        <x:v>0</x:v>
      </x:c>
      <x:c r="AI163" s="487">
        <x:f t="shared" si="6"/>
        <x:v>0</x:v>
      </x:c>
      <x:c r="AJ163" s="487">
        <x:f t="shared" si="7"/>
        <x:v>0</x:v>
      </x:c>
      <x:c r="AK163" s="374" t="str">
        <x:f t="shared" si="8"/>
        <x:v/>
      </x:c>
      <x:c r="AL163" s="8"/>
      <x:c r="AM163" s="533"/>
      <x:c r="AN163" s="374" t="str">
        <x:f>IF($AM163="","",IF($AM163="세입없음","OK",IF(COUNTIF('3. 일입'!$AN$8:$AN$2000,$AM163),"OK","@@")))</x:f>
        <x:v/>
      </x:c>
      <x:c r="AO163" s="356" t="str">
        <x:f t="shared" si="9"/>
        <x:v/>
      </x:c>
      <x:c r="AP163" s="374" t="str">
        <x:f t="shared" si="10"/>
        <x:v/>
      </x:c>
      <x:c r="AQ163" s="93"/>
      <x:c r="AR163" s="374" t="str">
        <x:f t="array" ref="AR163:AR163">IF(OR($D163="",$C163="직접입력",$B163="직접입력"),"",INDEX(구분표!$I$3:$I$321,MATCH(1,(구분표!$G$3:$G$321=$B163)*(구분표!$E$3:$E$321=$C163)*(구분표!$F$3:$F$321=$D163),0)))</x:f>
        <x:v/>
      </x:c>
      <x:c r="AS163" s="21"/>
    </x:row>
    <x:row r="164" spans="1:45" s="20" customFormat="1" ht="60" customHeight="1">
      <x:c r="A164" s="155" t="str">
        <x:f>IF(D164="","",COUNTA($C$7:C164)-COUNTBLANK($C$7:C164)+10)</x:f>
        <x:v/>
      </x:c>
      <x:c r="B164" s="156" t="str">
        <x: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x:f>
        <x:v/>
      </x:c>
      <x:c r="C164" s="156" t="str">
        <x:f>IF(D164="","",IF(OR(D164="교육지원과",D164="총무과",D164="인사과"),"직접입력",VLOOKUP(D164,구분표!$A$3:$C$258,3,)))</x:f>
        <x:v/>
      </x:c>
      <x:c r="D164" s="219"/>
      <x:c r="E164" s="213"/>
      <x:c r="F164" s="388" t="str">
        <x:f t="shared" si="116"/>
        <x:v/>
      </x:c>
      <x:c r="G164" s="388" t="str">
        <x:f t="shared" si="116"/>
        <x:v/>
      </x:c>
      <x:c r="H164" s="213"/>
      <x:c r="I164" s="156" t="str">
        <x:f>IF(H164="","",VLOOKUP($H164,구분표!$K$3:$M$151,2,FALSE))</x:f>
        <x:v/>
      </x:c>
      <x:c r="J164" s="156" t="str">
        <x:f>IF(I164="","",VLOOKUP($H164,구분표!$K$3:$M$151,3,FALSE))</x:f>
        <x:v/>
      </x:c>
      <x:c r="K164" s="233"/>
      <x:c r="L164" s="233"/>
      <x:c r="M164" s="459" t="str">
        <x:f t="shared" si="117"/>
        <x:v/>
      </x:c>
      <x:c r="N164" s="459" t="str">
        <x:f t="shared" si="118"/>
        <x:v/>
      </x:c>
      <x:c r="O164" s="461" t="str">
        <x:f t="shared" si="110"/>
        <x:v/>
      </x:c>
      <x:c r="P164" s="460"/>
      <x:c r="Q164" s="461">
        <x:f t="shared" si="111"/>
        <x:v>0</x:v>
      </x:c>
      <x:c r="R164" s="462"/>
      <x:c r="S164" s="463">
        <x:f t="shared" si="112"/>
        <x:v>0</x:v>
      </x:c>
      <x:c r="T164" s="162" t="str">
        <x:f t="shared" si="113"/>
        <x:v>X</x:v>
      </x:c>
      <x:c r="U164" s="220"/>
      <x:c r="V164" s="331"/>
      <x:c r="W164" s="221"/>
      <x:c r="X164" s="222"/>
      <x:c r="Y164" s="220"/>
      <x:c r="Z164" s="222"/>
      <x:c r="AA164" s="220"/>
      <x:c r="AC164" s="487">
        <x:f t="shared" si="114"/>
        <x:v>0</x:v>
      </x:c>
      <x:c r="AD164" s="487">
        <x:f t="shared" si="3"/>
        <x:v>0</x:v>
      </x:c>
      <x:c r="AE164" s="487">
        <x:f t="shared" si="4"/>
        <x:v>0</x:v>
      </x:c>
      <x:c r="AF164" s="374" t="str">
        <x:f t="shared" si="115"/>
        <x:v/>
      </x:c>
      <x:c r="AG164" s="165"/>
      <x:c r="AH164" s="487">
        <x:f t="shared" si="5"/>
        <x:v>0</x:v>
      </x:c>
      <x:c r="AI164" s="487">
        <x:f t="shared" si="6"/>
        <x:v>0</x:v>
      </x:c>
      <x:c r="AJ164" s="487">
        <x:f t="shared" si="7"/>
        <x:v>0</x:v>
      </x:c>
      <x:c r="AK164" s="374" t="str">
        <x:f t="shared" si="8"/>
        <x:v/>
      </x:c>
      <x:c r="AL164" s="8"/>
      <x:c r="AM164" s="533"/>
      <x:c r="AN164" s="374" t="str">
        <x:f>IF($AM164="","",IF($AM164="세입없음","OK",IF(COUNTIF('3. 일입'!$AN$8:$AN$2000,$AM164),"OK","@@")))</x:f>
        <x:v/>
      </x:c>
      <x:c r="AO164" s="356" t="str">
        <x:f t="shared" si="9"/>
        <x:v/>
      </x:c>
      <x:c r="AP164" s="374" t="str">
        <x:f t="shared" si="10"/>
        <x:v/>
      </x:c>
      <x:c r="AQ164" s="93"/>
      <x:c r="AR164" s="374" t="str">
        <x:f t="array" ref="AR164:AR164">IF(OR($D164="",$C164="직접입력",$B164="직접입력"),"",INDEX(구분표!$I$3:$I$321,MATCH(1,(구분표!$G$3:$G$321=$B164)*(구분표!$E$3:$E$321=$C164)*(구분표!$F$3:$F$321=$D164),0)))</x:f>
        <x:v/>
      </x:c>
      <x:c r="AS164" s="21"/>
    </x:row>
    <x:row r="165" spans="1:45" s="20" customFormat="1" ht="60" customHeight="1">
      <x:c r="A165" s="155" t="str">
        <x:f>IF(D165="","",COUNTA($C$7:C165)-COUNTBLANK($C$7:C165)+10)</x:f>
        <x:v/>
      </x:c>
      <x:c r="B165" s="156" t="str">
        <x: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x:f>
        <x:v/>
      </x:c>
      <x:c r="C165" s="156" t="str">
        <x:f>IF(D165="","",IF(OR(D165="교육지원과",D165="총무과",D165="인사과"),"직접입력",VLOOKUP(D165,구분표!$A$3:$C$258,3,)))</x:f>
        <x:v/>
      </x:c>
      <x:c r="D165" s="219"/>
      <x:c r="E165" s="213"/>
      <x:c r="F165" s="388" t="str">
        <x:f t="shared" si="116"/>
        <x:v/>
      </x:c>
      <x:c r="G165" s="388" t="str">
        <x:f t="shared" si="116"/>
        <x:v/>
      </x:c>
      <x:c r="H165" s="213"/>
      <x:c r="I165" s="156" t="str">
        <x:f>IF(H165="","",VLOOKUP($H165,구분표!$K$3:$M$151,2,FALSE))</x:f>
        <x:v/>
      </x:c>
      <x:c r="J165" s="156" t="str">
        <x:f>IF(I165="","",VLOOKUP($H165,구분표!$K$3:$M$151,3,FALSE))</x:f>
        <x:v/>
      </x:c>
      <x:c r="K165" s="233"/>
      <x:c r="L165" s="233"/>
      <x:c r="M165" s="459" t="str">
        <x:f t="shared" si="117"/>
        <x:v/>
      </x:c>
      <x:c r="N165" s="459" t="str">
        <x:f t="shared" si="118"/>
        <x:v/>
      </x:c>
      <x:c r="O165" s="461" t="str">
        <x:f t="shared" si="110"/>
        <x:v/>
      </x:c>
      <x:c r="P165" s="460"/>
      <x:c r="Q165" s="461">
        <x:f t="shared" si="111"/>
        <x:v>0</x:v>
      </x:c>
      <x:c r="R165" s="462"/>
      <x:c r="S165" s="463">
        <x:f t="shared" si="112"/>
        <x:v>0</x:v>
      </x:c>
      <x:c r="T165" s="162" t="str">
        <x:f t="shared" si="113"/>
        <x:v>X</x:v>
      </x:c>
      <x:c r="U165" s="220"/>
      <x:c r="V165" s="331"/>
      <x:c r="W165" s="221"/>
      <x:c r="X165" s="222"/>
      <x:c r="Y165" s="220"/>
      <x:c r="Z165" s="222"/>
      <x:c r="AA165" s="220"/>
      <x:c r="AC165" s="487">
        <x:f t="shared" si="114"/>
        <x:v>0</x:v>
      </x:c>
      <x:c r="AD165" s="487">
        <x:f t="shared" si="3"/>
        <x:v>0</x:v>
      </x:c>
      <x:c r="AE165" s="487">
        <x:f t="shared" si="4"/>
        <x:v>0</x:v>
      </x:c>
      <x:c r="AF165" s="374" t="str">
        <x:f t="shared" si="115"/>
        <x:v/>
      </x:c>
      <x:c r="AG165" s="165"/>
      <x:c r="AH165" s="487">
        <x:f t="shared" si="5"/>
        <x:v>0</x:v>
      </x:c>
      <x:c r="AI165" s="487">
        <x:f t="shared" si="6"/>
        <x:v>0</x:v>
      </x:c>
      <x:c r="AJ165" s="487">
        <x:f t="shared" si="7"/>
        <x:v>0</x:v>
      </x:c>
      <x:c r="AK165" s="374" t="str">
        <x:f t="shared" si="8"/>
        <x:v/>
      </x:c>
      <x:c r="AL165" s="8"/>
      <x:c r="AM165" s="533"/>
      <x:c r="AN165" s="374" t="str">
        <x:f>IF($AM165="","",IF($AM165="세입없음","OK",IF(COUNTIF('3. 일입'!$AN$8:$AN$2000,$AM165),"OK","@@")))</x:f>
        <x:v/>
      </x:c>
      <x:c r="AO165" s="356" t="str">
        <x:f t="shared" si="9"/>
        <x:v/>
      </x:c>
      <x:c r="AP165" s="374" t="str">
        <x:f t="shared" si="10"/>
        <x:v/>
      </x:c>
      <x:c r="AQ165" s="93"/>
      <x:c r="AR165" s="374" t="str">
        <x:f t="array" ref="AR165:AR165">IF(OR($D165="",$C165="직접입력",$B165="직접입력"),"",INDEX(구분표!$I$3:$I$321,MATCH(1,(구분표!$G$3:$G$321=$B165)*(구분표!$E$3:$E$321=$C165)*(구분표!$F$3:$F$321=$D165),0)))</x:f>
        <x:v/>
      </x:c>
      <x:c r="AS165" s="21"/>
    </x:row>
    <x:row r="166" spans="1:45" s="157" customFormat="1" ht="60" customHeight="1">
      <x:c r="A166" s="155" t="str">
        <x:f>IF(D166="","",COUNTA($C$7:C166)-COUNTBLANK($C$7:C166)+10)</x:f>
        <x:v/>
      </x:c>
      <x:c r="B166" s="156" t="str">
        <x: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x:f>
        <x:v/>
      </x:c>
      <x:c r="C166" s="156" t="str">
        <x:f>IF(D166="","",IF(OR(D166="교육지원과",D166="총무과",D166="인사과"),"직접입력",VLOOKUP(D166,구분표!$A$3:$C$258,3,)))</x:f>
        <x:v/>
      </x:c>
      <x:c r="D166" s="219"/>
      <x:c r="E166" s="213"/>
      <x:c r="F166" s="388" t="str">
        <x:f t="shared" si="116"/>
        <x:v/>
      </x:c>
      <x:c r="G166" s="388" t="str">
        <x:f t="shared" si="116"/>
        <x:v/>
      </x:c>
      <x:c r="H166" s="213"/>
      <x:c r="I166" s="156" t="str">
        <x:f>IF(H166="","",VLOOKUP($H166,구분표!$K$3:$M$151,2,FALSE))</x:f>
        <x:v/>
      </x:c>
      <x:c r="J166" s="156" t="str">
        <x:f>IF(I166="","",VLOOKUP($H166,구분표!$K$3:$M$151,3,FALSE))</x:f>
        <x:v/>
      </x:c>
      <x:c r="K166" s="233"/>
      <x:c r="L166" s="233"/>
      <x:c r="M166" s="459" t="str">
        <x:f t="shared" si="117"/>
        <x:v/>
      </x:c>
      <x:c r="N166" s="459" t="str">
        <x:f t="shared" si="118"/>
        <x:v/>
      </x:c>
      <x:c r="O166" s="461" t="str">
        <x:f t="shared" si="110"/>
        <x:v/>
      </x:c>
      <x:c r="P166" s="460"/>
      <x:c r="Q166" s="461">
        <x:f t="shared" si="111"/>
        <x:v>0</x:v>
      </x:c>
      <x:c r="R166" s="462"/>
      <x:c r="S166" s="463">
        <x:f t="shared" si="112"/>
        <x:v>0</x:v>
      </x:c>
      <x:c r="T166" s="162" t="str">
        <x:f t="shared" si="113"/>
        <x:v>X</x:v>
      </x:c>
      <x:c r="U166" s="220"/>
      <x:c r="V166" s="331"/>
      <x:c r="W166" s="221"/>
      <x:c r="X166" s="222"/>
      <x:c r="Y166" s="220"/>
      <x:c r="Z166" s="222"/>
      <x:c r="AA166" s="220"/>
      <x:c r="AB166" s="20"/>
      <x:c r="AC166" s="487">
        <x:f t="shared" si="114"/>
        <x:v>0</x:v>
      </x:c>
      <x:c r="AD166" s="487">
        <x:f t="shared" si="3"/>
        <x:v>0</x:v>
      </x:c>
      <x:c r="AE166" s="487">
        <x:f t="shared" si="4"/>
        <x:v>0</x:v>
      </x:c>
      <x:c r="AF166" s="374" t="str">
        <x:f t="shared" si="115"/>
        <x:v/>
      </x:c>
      <x:c r="AG166" s="165"/>
      <x:c r="AH166" s="487">
        <x:f t="shared" si="5"/>
        <x:v>0</x:v>
      </x:c>
      <x:c r="AI166" s="487">
        <x:f t="shared" si="6"/>
        <x:v>0</x:v>
      </x:c>
      <x:c r="AJ166" s="487">
        <x:f t="shared" si="7"/>
        <x:v>0</x:v>
      </x:c>
      <x:c r="AK166" s="374" t="str">
        <x:f t="shared" si="8"/>
        <x:v/>
      </x:c>
      <x:c r="AL166" s="8"/>
      <x:c r="AM166" s="533"/>
      <x:c r="AN166" s="374" t="str">
        <x:f>IF($AM166="","",IF($AM166="세입없음","OK",IF(COUNTIF('3. 일입'!$AN$8:$AN$2000,$AM166),"OK","@@")))</x:f>
        <x:v/>
      </x:c>
      <x:c r="AO166" s="356" t="str">
        <x:f t="shared" si="9"/>
        <x:v/>
      </x:c>
      <x:c r="AP166" s="374" t="str">
        <x:f t="shared" si="10"/>
        <x:v/>
      </x:c>
      <x:c r="AQ166" s="93"/>
      <x:c r="AR166" s="374" t="str">
        <x:f t="array" ref="AR166:AR166">IF(OR($D166="",$C166="직접입력",$B166="직접입력"),"",INDEX(구분표!$I$3:$I$321,MATCH(1,(구분표!$G$3:$G$321=$B166)*(구분표!$E$3:$E$321=$C166)*(구분표!$F$3:$F$321=$D166),0)))</x:f>
        <x:v/>
      </x:c>
      <x:c r="AS166" s="21"/>
    </x:row>
    <x:row r="167" spans="1:45" s="336" customFormat="1" ht="60" customHeight="1">
      <x:c r="A167" s="335"/>
      <x:c r="B167" s="979" t="s">
        <x:v>1618</x:v>
      </x:c>
      <x:c r="C167" s="979"/>
      <x:c r="D167" s="979"/>
      <x:c r="E167" s="979"/>
      <x:c r="F167" s="979"/>
      <x:c r="G167" s="979"/>
      <x:c r="H167" s="243"/>
      <x:c r="I167" s="358"/>
      <x:c r="J167" s="358"/>
      <x:c r="K167" s="418"/>
      <x:c r="L167" s="419" t="str">
        <x:f>SUBTOTAL(3,L168:L182)&amp;"건"</x:f>
        <x:v>0건</x:v>
      </x:c>
      <x:c r="M167" s="476">
        <x:f t="shared" ref="M167:N167" si="119">SUBTOTAL(9,M168:M182)</x:f>
        <x:v>0</x:v>
      </x:c>
      <x:c r="N167" s="476">
        <x:f t="shared" si="119"/>
        <x:v>0</x:v>
      </x:c>
      <x:c r="O167" s="476">
        <x:f t="shared" ref="O167:S167" si="120">SUBTOTAL(9,O168:O182)</x:f>
        <x:v>0</x:v>
      </x:c>
      <x:c r="P167" s="476">
        <x:f t="shared" si="120"/>
        <x:v>0</x:v>
      </x:c>
      <x:c r="Q167" s="476">
        <x:f t="shared" si="120"/>
        <x:v>0</x:v>
      </x:c>
      <x:c r="R167" s="476">
        <x:f t="shared" si="120"/>
        <x:v>0</x:v>
      </x:c>
      <x:c r="S167" s="476">
        <x:f t="shared" si="120"/>
        <x:v>0</x:v>
      </x:c>
      <x:c r="T167" s="416"/>
      <x:c r="U167" s="420"/>
      <x:c r="V167" s="420"/>
      <x:c r="W167" s="186"/>
      <x:c r="X167" s="186"/>
      <x:c r="Y167" s="186"/>
      <x:c r="Z167" s="187"/>
      <x:c r="AA167" s="186"/>
      <x:c r="AC167" s="481">
        <x:f>SUBTOTAL(9,AC168:AC182)</x:f>
        <x:v>0</x:v>
      </x:c>
      <x:c r="AD167" s="481">
        <x:f>SUBTOTAL(9,AD168:AD182)</x:f>
        <x:v>0</x:v>
      </x:c>
      <x:c r="AE167" s="481">
        <x:f>SUBTOTAL(9,AE168:AE182)</x:f>
        <x:v>0</x:v>
      </x:c>
      <x:c r="AF167" s="554" t="str">
        <x:f>IF(COUNTIF(AF168:AF182,"@@")&gt;0,"@@","OK")</x:f>
        <x:v>OK</x:v>
      </x:c>
      <x:c r="AG167" s="165"/>
      <x:c r="AH167" s="481">
        <x:f>SUBTOTAL(9,AH168:AH182)</x:f>
        <x:v>0</x:v>
      </x:c>
      <x:c r="AI167" s="481">
        <x:f>SUBTOTAL(9,AI168:AI182)</x:f>
        <x:v>0</x:v>
      </x:c>
      <x:c r="AJ167" s="481">
        <x:f>SUBTOTAL(9,AJ168:AJ182)</x:f>
        <x:v>0</x:v>
      </x:c>
      <x:c r="AK167" s="554" t="str">
        <x:f>IF(COUNTIF(AK168:AK182,"@@")&gt;0,"@@","OK")</x:f>
        <x:v>OK</x:v>
      </x:c>
      <x:c r="AL167" s="165"/>
      <x:c r="AM167" s="422"/>
      <x:c r="AN167" s="554" t="str">
        <x:f>IF(COUNTIF(AN168:AN182,"@@")&gt;0,"@@","OK")</x:f>
        <x:v>OK</x:v>
      </x:c>
      <x:c r="AO167" s="422"/>
      <x:c r="AP167" s="554" t="str">
        <x:f>IF(COUNTIF(AP168:AP182,"@@")&gt;0,"@@","OK")</x:f>
        <x:v>OK</x:v>
      </x:c>
      <x:c r="AQ167" s="164"/>
      <x:c r="AR167" s="422"/>
      <x:c r="AS167" s="21"/>
    </x:row>
    <x:row r="168" spans="1:45" s="20" customFormat="1" ht="80.099999999999994" customHeight="1">
      <x:c r="A168" s="155" t="str">
        <x:f>IF(D168="","",COUNTA($C$7:C168)-COUNTBLANK($C$7:C168)+11)</x:f>
        <x:v/>
      </x:c>
      <x:c r="B168" s="156" t="str">
        <x: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x:f>
        <x:v/>
      </x:c>
      <x:c r="C168" s="156" t="str">
        <x:f>IF(D168="","",IF(OR(D168="교육지원과",D168="총무과",D168="인사과"),"직접입력",VLOOKUP(D168,구분표!$A$3:$C$258,3,)))</x:f>
        <x:v/>
      </x:c>
      <x:c r="D168" s="219"/>
      <x:c r="E168" s="213"/>
      <x:c r="F168" s="388" t="str">
        <x:f>IF($E168="","",IF($E168="2추","직접입력","-"))</x:f>
        <x:v/>
      </x:c>
      <x:c r="G168" s="388" t="str">
        <x:f>IF($E168="","",IF($E168="2추","직접입력","-"))</x:f>
        <x:v/>
      </x:c>
      <x:c r="H168" s="213"/>
      <x:c r="I168" s="156" t="str">
        <x:f>IF(H168="","",VLOOKUP($H168,구분표!$K$3:$M$151,2,FALSE))</x:f>
        <x:v/>
      </x:c>
      <x:c r="J168" s="156" t="str">
        <x:f>IF(I168="","",VLOOKUP($H168,구분표!$K$3:$M$151,3,FALSE))</x:f>
        <x:v/>
      </x:c>
      <x:c r="K168" s="233"/>
      <x:c r="L168" s="233"/>
      <x:c r="M168" s="459" t="str">
        <x:f>IF($E168="","",IF(OR($E168="2추",$E168="1추",$E168="본예산"),"금액입력","-"))</x:f>
        <x:v/>
      </x:c>
      <x:c r="N168" s="459" t="str">
        <x:f>IF($E168="","",IF($E168="2추","금액입력","-"))</x:f>
        <x:v/>
      </x:c>
      <x:c r="O168" s="461" t="str">
        <x:f t="shared" ref="O168:O182" si="121">IF($E168="","",SUM(M168:N168))</x:f>
        <x:v/>
      </x:c>
      <x:c r="P168" s="460"/>
      <x:c r="Q168" s="461">
        <x:f t="shared" ref="Q168:Q182" si="122">SUM(O168:P168)</x:f>
        <x:v>0</x:v>
      </x:c>
      <x:c r="R168" s="462"/>
      <x:c r="S168" s="463">
        <x:f t="shared" ref="S168:S182" si="123">SUM(O168,R168)</x:f>
        <x:v>0</x:v>
      </x:c>
      <x:c r="T168" s="162" t="str">
        <x:f t="shared" ref="T168:T182" si="124">IF(AND((Q168=0),(S168&gt;0)),"O",IF(AND((P168&lt;0),(Q168-S168&lt;0)),"O","X"))</x:f>
        <x:v>X</x:v>
      </x:c>
      <x:c r="U168" s="220"/>
      <x:c r="V168" s="331"/>
      <x:c r="W168" s="221"/>
      <x:c r="X168" s="222"/>
      <x:c r="Y168" s="220"/>
      <x:c r="Z168" s="222"/>
      <x:c r="AA168" s="220"/>
      <x:c r="AC168" s="487">
        <x:f t="shared" ref="AC168:AC182" si="125">IF($P168="",0,IF(AND(ISNUMBER(AD168),ISNUMBER(AE168)),$P168-$AD168-$AE168,0))</x:f>
        <x:v>0</x:v>
      </x:c>
      <x:c r="AD168" s="487">
        <x:f t="shared" si="3"/>
        <x:v>0</x:v>
      </x:c>
      <x:c r="AE168" s="487">
        <x:f t="shared" si="4"/>
        <x:v>0</x:v>
      </x:c>
      <x:c r="AF168" s="374" t="str">
        <x:f t="shared" ref="AF168:AF182" si="126">IF($P168="",IF(SUM($AC168:$AE168)=0,"","@@"),IF(AND($P168=SUM($AC168:$AE168),Q168&gt;=0),"OK","@@"))</x:f>
        <x:v/>
      </x:c>
      <x:c r="AG168" s="165"/>
      <x:c r="AH168" s="487">
        <x:f t="shared" si="5"/>
        <x:v>0</x:v>
      </x:c>
      <x:c r="AI168" s="487">
        <x:f t="shared" si="6"/>
        <x:v>0</x:v>
      </x:c>
      <x:c r="AJ168" s="487">
        <x:f t="shared" si="7"/>
        <x:v>0</x:v>
      </x:c>
      <x:c r="AK168" s="374" t="str">
        <x:f t="shared" si="8"/>
        <x:v/>
      </x:c>
      <x:c r="AL168" s="8"/>
      <x:c r="AM168" s="533"/>
      <x:c r="AN168" s="374" t="str">
        <x:f>IF($AM168="","",IF($AM168="세입없음","OK",IF(COUNTIF('3. 일입'!$AN$8:$AN$2000,$AM168),"OK","@@")))</x:f>
        <x:v/>
      </x:c>
      <x:c r="AO168" s="356" t="str">
        <x:f t="shared" si="9"/>
        <x:v/>
      </x:c>
      <x:c r="AP168" s="374" t="str">
        <x:f t="shared" si="10"/>
        <x:v/>
      </x:c>
      <x:c r="AQ168" s="93"/>
      <x:c r="AR168" s="374" t="str">
        <x:f t="array" ref="AR168:AR168">IF(OR($D168="",$C168="직접입력",$B168="직접입력"),"",INDEX(구분표!$I$3:$I$321,MATCH(1,(구분표!$G$3:$G$321=$B168)*(구분표!$E$3:$E$321=$C168)*(구분표!$F$3:$F$321=$D168),0)))</x:f>
        <x:v/>
      </x:c>
      <x:c r="AS168" s="21"/>
    </x:row>
    <x:row r="169" spans="1:45" s="20" customFormat="1" ht="80.099999999999994" customHeight="1">
      <x:c r="A169" s="155" t="str">
        <x:f>IF(D169="","",COUNTA($C$7:C169)-COUNTBLANK($C$7:C169)+11)</x:f>
        <x:v/>
      </x:c>
      <x:c r="B169" s="156" t="str">
        <x: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x:f>
        <x:v/>
      </x:c>
      <x:c r="C169" s="156" t="str">
        <x:f>IF(D169="","",IF(OR(D169="교육지원과",D169="총무과",D169="인사과"),"직접입력",VLOOKUP(D169,구분표!$A$3:$C$258,3,)))</x:f>
        <x:v/>
      </x:c>
      <x:c r="D169" s="219"/>
      <x:c r="E169" s="213"/>
      <x:c r="F169" s="388" t="str">
        <x:f t="shared" ref="F169:G182" si="127">IF($E169="","",IF($E169="2추","직접입력","-"))</x:f>
        <x:v/>
      </x:c>
      <x:c r="G169" s="388" t="str">
        <x:f t="shared" si="127"/>
        <x:v/>
      </x:c>
      <x:c r="H169" s="213"/>
      <x:c r="I169" s="156" t="str">
        <x:f>IF(H169="","",VLOOKUP($H169,구분표!$K$3:$M$151,2,FALSE))</x:f>
        <x:v/>
      </x:c>
      <x:c r="J169" s="156" t="str">
        <x:f>IF(I169="","",VLOOKUP($H169,구분표!$K$3:$M$151,3,FALSE))</x:f>
        <x:v/>
      </x:c>
      <x:c r="K169" s="233"/>
      <x:c r="L169" s="233"/>
      <x:c r="M169" s="459" t="str">
        <x:f t="shared" ref="M169:M182" si="128">IF($E169="","",IF(OR($E169="2추",$E169="1추",$E169="본예산"),"금액입력","-"))</x:f>
        <x:v/>
      </x:c>
      <x:c r="N169" s="459" t="str">
        <x:f t="shared" ref="N169:N182" si="129">IF($E169="","",IF($E169="2추","금액입력","-"))</x:f>
        <x:v/>
      </x:c>
      <x:c r="O169" s="461" t="str">
        <x:f t="shared" si="121"/>
        <x:v/>
      </x:c>
      <x:c r="P169" s="460"/>
      <x:c r="Q169" s="461">
        <x:f t="shared" si="122"/>
        <x:v>0</x:v>
      </x:c>
      <x:c r="R169" s="462"/>
      <x:c r="S169" s="463">
        <x:f t="shared" si="123"/>
        <x:v>0</x:v>
      </x:c>
      <x:c r="T169" s="162" t="str">
        <x:f t="shared" si="124"/>
        <x:v>X</x:v>
      </x:c>
      <x:c r="U169" s="220"/>
      <x:c r="V169" s="331"/>
      <x:c r="W169" s="221"/>
      <x:c r="X169" s="222"/>
      <x:c r="Y169" s="220"/>
      <x:c r="Z169" s="222"/>
      <x:c r="AA169" s="220"/>
      <x:c r="AC169" s="487">
        <x:f t="shared" si="125"/>
        <x:v>0</x:v>
      </x:c>
      <x:c r="AD169" s="487">
        <x:f t="shared" si="3"/>
        <x:v>0</x:v>
      </x:c>
      <x:c r="AE169" s="487">
        <x:f t="shared" si="4"/>
        <x:v>0</x:v>
      </x:c>
      <x:c r="AF169" s="374" t="str">
        <x:f t="shared" si="126"/>
        <x:v/>
      </x:c>
      <x:c r="AG169" s="165"/>
      <x:c r="AH169" s="487">
        <x:f t="shared" si="5"/>
        <x:v>0</x:v>
      </x:c>
      <x:c r="AI169" s="487">
        <x:f t="shared" si="6"/>
        <x:v>0</x:v>
      </x:c>
      <x:c r="AJ169" s="487">
        <x:f t="shared" si="7"/>
        <x:v>0</x:v>
      </x:c>
      <x:c r="AK169" s="374" t="str">
        <x:f t="shared" si="8"/>
        <x:v/>
      </x:c>
      <x:c r="AL169" s="8"/>
      <x:c r="AM169" s="533"/>
      <x:c r="AN169" s="374" t="str">
        <x:f>IF($AM169="","",IF($AM169="세입없음","OK",IF(COUNTIF('3. 일입'!$AN$8:$AN$2000,$AM169),"OK","@@")))</x:f>
        <x:v/>
      </x:c>
      <x:c r="AO169" s="356" t="str">
        <x:f t="shared" si="9"/>
        <x:v/>
      </x:c>
      <x:c r="AP169" s="374" t="str">
        <x:f t="shared" si="10"/>
        <x:v/>
      </x:c>
      <x:c r="AQ169" s="93"/>
      <x:c r="AR169" s="374" t="str">
        <x:f t="array" ref="AR169:AR169">IF(OR($D169="",$C169="직접입력",$B169="직접입력"),"",INDEX(구분표!$I$3:$I$321,MATCH(1,(구분표!$G$3:$G$321=$B169)*(구분표!$E$3:$E$321=$C169)*(구분표!$F$3:$F$321=$D169),0)))</x:f>
        <x:v/>
      </x:c>
      <x:c r="AS169" s="21"/>
    </x:row>
    <x:row r="170" spans="1:45" s="20" customFormat="1" ht="80.099999999999994" customHeight="1">
      <x:c r="A170" s="155" t="str">
        <x:f>IF(D170="","",COUNTA($C$7:C170)-COUNTBLANK($C$7:C170)+11)</x:f>
        <x:v/>
      </x:c>
      <x:c r="B170" s="156" t="str">
        <x: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x:f>
        <x:v/>
      </x:c>
      <x:c r="C170" s="156" t="str">
        <x:f>IF(D170="","",IF(OR(D170="교육지원과",D170="총무과",D170="인사과"),"직접입력",VLOOKUP(D170,구분표!$A$3:$C$258,3,)))</x:f>
        <x:v/>
      </x:c>
      <x:c r="D170" s="219"/>
      <x:c r="E170" s="213"/>
      <x:c r="F170" s="388" t="str">
        <x:f t="shared" si="127"/>
        <x:v/>
      </x:c>
      <x:c r="G170" s="388" t="str">
        <x:f t="shared" si="127"/>
        <x:v/>
      </x:c>
      <x:c r="H170" s="213"/>
      <x:c r="I170" s="156" t="str">
        <x:f>IF(H170="","",VLOOKUP($H170,구분표!$K$3:$M$151,2,FALSE))</x:f>
        <x:v/>
      </x:c>
      <x:c r="J170" s="156" t="str">
        <x:f>IF(I170="","",VLOOKUP($H170,구분표!$K$3:$M$151,3,FALSE))</x:f>
        <x:v/>
      </x:c>
      <x:c r="K170" s="233"/>
      <x:c r="L170" s="233"/>
      <x:c r="M170" s="459" t="str">
        <x:f t="shared" si="128"/>
        <x:v/>
      </x:c>
      <x:c r="N170" s="459" t="str">
        <x:f t="shared" si="129"/>
        <x:v/>
      </x:c>
      <x:c r="O170" s="461" t="str">
        <x:f t="shared" si="121"/>
        <x:v/>
      </x:c>
      <x:c r="P170" s="460"/>
      <x:c r="Q170" s="461">
        <x:f t="shared" si="122"/>
        <x:v>0</x:v>
      </x:c>
      <x:c r="R170" s="462"/>
      <x:c r="S170" s="463">
        <x:f t="shared" si="123"/>
        <x:v>0</x:v>
      </x:c>
      <x:c r="T170" s="162" t="str">
        <x:f t="shared" si="124"/>
        <x:v>X</x:v>
      </x:c>
      <x:c r="U170" s="220"/>
      <x:c r="V170" s="331"/>
      <x:c r="W170" s="221"/>
      <x:c r="X170" s="222"/>
      <x:c r="Y170" s="220"/>
      <x:c r="Z170" s="222"/>
      <x:c r="AA170" s="220"/>
      <x:c r="AC170" s="487">
        <x:f t="shared" si="125"/>
        <x:v>0</x:v>
      </x:c>
      <x:c r="AD170" s="487">
        <x:f t="shared" si="3"/>
        <x:v>0</x:v>
      </x:c>
      <x:c r="AE170" s="487">
        <x:f t="shared" si="4"/>
        <x:v>0</x:v>
      </x:c>
      <x:c r="AF170" s="374" t="str">
        <x:f t="shared" si="126"/>
        <x:v/>
      </x:c>
      <x:c r="AG170" s="165"/>
      <x:c r="AH170" s="487">
        <x:f t="shared" si="5"/>
        <x:v>0</x:v>
      </x:c>
      <x:c r="AI170" s="487">
        <x:f t="shared" si="6"/>
        <x:v>0</x:v>
      </x:c>
      <x:c r="AJ170" s="487">
        <x:f t="shared" si="7"/>
        <x:v>0</x:v>
      </x:c>
      <x:c r="AK170" s="374" t="str">
        <x:f t="shared" si="8"/>
        <x:v/>
      </x:c>
      <x:c r="AL170" s="8"/>
      <x:c r="AM170" s="533"/>
      <x:c r="AN170" s="374" t="str">
        <x:f>IF($AM170="","",IF($AM170="세입없음","OK",IF(COUNTIF('3. 일입'!$AN$8:$AN$2000,$AM170),"OK","@@")))</x:f>
        <x:v/>
      </x:c>
      <x:c r="AO170" s="356" t="str">
        <x:f t="shared" si="9"/>
        <x:v/>
      </x:c>
      <x:c r="AP170" s="374" t="str">
        <x:f t="shared" si="10"/>
        <x:v/>
      </x:c>
      <x:c r="AQ170" s="93"/>
      <x:c r="AR170" s="374" t="str">
        <x:f t="array" ref="AR170:AR170">IF(OR($D170="",$C170="직접입력",$B170="직접입력"),"",INDEX(구분표!$I$3:$I$321,MATCH(1,(구분표!$G$3:$G$321=$B170)*(구분표!$E$3:$E$321=$C170)*(구분표!$F$3:$F$321=$D170),0)))</x:f>
        <x:v/>
      </x:c>
      <x:c r="AS170" s="21"/>
    </x:row>
    <x:row r="171" spans="1:45" s="20" customFormat="1" ht="80.099999999999994" customHeight="1">
      <x:c r="A171" s="155" t="str">
        <x:f>IF(D171="","",COUNTA($C$7:C171)-COUNTBLANK($C$7:C171)+11)</x:f>
        <x:v/>
      </x:c>
      <x:c r="B171" s="156" t="str">
        <x: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x:f>
        <x:v/>
      </x:c>
      <x:c r="C171" s="156" t="str">
        <x:f>IF(D171="","",IF(OR(D171="교육지원과",D171="총무과",D171="인사과"),"직접입력",VLOOKUP(D171,구분표!$A$3:$C$258,3,)))</x:f>
        <x:v/>
      </x:c>
      <x:c r="D171" s="219"/>
      <x:c r="E171" s="213"/>
      <x:c r="F171" s="388" t="str">
        <x:f t="shared" si="127"/>
        <x:v/>
      </x:c>
      <x:c r="G171" s="388" t="str">
        <x:f t="shared" si="127"/>
        <x:v/>
      </x:c>
      <x:c r="H171" s="213"/>
      <x:c r="I171" s="156" t="str">
        <x:f>IF(H171="","",VLOOKUP($H171,구분표!$K$3:$M$151,2,FALSE))</x:f>
        <x:v/>
      </x:c>
      <x:c r="J171" s="156" t="str">
        <x:f>IF(I171="","",VLOOKUP($H171,구분표!$K$3:$M$151,3,FALSE))</x:f>
        <x:v/>
      </x:c>
      <x:c r="K171" s="233"/>
      <x:c r="L171" s="233"/>
      <x:c r="M171" s="459" t="str">
        <x:f t="shared" si="128"/>
        <x:v/>
      </x:c>
      <x:c r="N171" s="459" t="str">
        <x:f t="shared" si="129"/>
        <x:v/>
      </x:c>
      <x:c r="O171" s="461" t="str">
        <x:f t="shared" si="121"/>
        <x:v/>
      </x:c>
      <x:c r="P171" s="460"/>
      <x:c r="Q171" s="461">
        <x:f t="shared" si="122"/>
        <x:v>0</x:v>
      </x:c>
      <x:c r="R171" s="462"/>
      <x:c r="S171" s="463">
        <x:f t="shared" si="123"/>
        <x:v>0</x:v>
      </x:c>
      <x:c r="T171" s="162" t="str">
        <x:f t="shared" si="124"/>
        <x:v>X</x:v>
      </x:c>
      <x:c r="U171" s="220"/>
      <x:c r="V171" s="331"/>
      <x:c r="W171" s="221"/>
      <x:c r="X171" s="222"/>
      <x:c r="Y171" s="220"/>
      <x:c r="Z171" s="222"/>
      <x:c r="AA171" s="220"/>
      <x:c r="AC171" s="487">
        <x:f t="shared" si="125"/>
        <x:v>0</x:v>
      </x:c>
      <x:c r="AD171" s="487">
        <x:f t="shared" si="3"/>
        <x:v>0</x:v>
      </x:c>
      <x:c r="AE171" s="487">
        <x:f t="shared" si="4"/>
        <x:v>0</x:v>
      </x:c>
      <x:c r="AF171" s="374" t="str">
        <x:f t="shared" si="126"/>
        <x:v/>
      </x:c>
      <x:c r="AG171" s="165"/>
      <x:c r="AH171" s="487">
        <x:f t="shared" si="5"/>
        <x:v>0</x:v>
      </x:c>
      <x:c r="AI171" s="487">
        <x:f t="shared" si="6"/>
        <x:v>0</x:v>
      </x:c>
      <x:c r="AJ171" s="487">
        <x:f t="shared" si="7"/>
        <x:v>0</x:v>
      </x:c>
      <x:c r="AK171" s="374" t="str">
        <x:f t="shared" si="8"/>
        <x:v/>
      </x:c>
      <x:c r="AL171" s="8"/>
      <x:c r="AM171" s="533"/>
      <x:c r="AN171" s="374" t="str">
        <x:f>IF($AM171="","",IF($AM171="세입없음","OK",IF(COUNTIF('3. 일입'!$AN$8:$AN$2000,$AM171),"OK","@@")))</x:f>
        <x:v/>
      </x:c>
      <x:c r="AO171" s="356" t="str">
        <x:f t="shared" si="9"/>
        <x:v/>
      </x:c>
      <x:c r="AP171" s="374" t="str">
        <x:f t="shared" si="10"/>
        <x:v/>
      </x:c>
      <x:c r="AQ171" s="93"/>
      <x:c r="AR171" s="374" t="str">
        <x:f t="array" ref="AR171:AR171">IF(OR($D171="",$C171="직접입력",$B171="직접입력"),"",INDEX(구분표!$I$3:$I$321,MATCH(1,(구분표!$G$3:$G$321=$B171)*(구분표!$E$3:$E$321=$C171)*(구분표!$F$3:$F$321=$D171),0)))</x:f>
        <x:v/>
      </x:c>
      <x:c r="AS171" s="21"/>
    </x:row>
    <x:row r="172" spans="1:45" s="157" customFormat="1" ht="80.099999999999994" customHeight="1">
      <x:c r="A172" s="155" t="str">
        <x:f>IF(D172="","",COUNTA($C$7:C172)-COUNTBLANK($C$7:C172)+11)</x:f>
        <x:v/>
      </x:c>
      <x:c r="B172" s="156" t="str">
        <x: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x:f>
        <x:v/>
      </x:c>
      <x:c r="C172" s="156" t="str">
        <x:f>IF(D172="","",IF(OR(D172="교육지원과",D172="총무과",D172="인사과"),"직접입력",VLOOKUP(D172,구분표!$A$3:$C$258,3,)))</x:f>
        <x:v/>
      </x:c>
      <x:c r="D172" s="219"/>
      <x:c r="E172" s="213"/>
      <x:c r="F172" s="388" t="str">
        <x:f t="shared" si="127"/>
        <x:v/>
      </x:c>
      <x:c r="G172" s="388" t="str">
        <x:f t="shared" si="127"/>
        <x:v/>
      </x:c>
      <x:c r="H172" s="213"/>
      <x:c r="I172" s="156" t="str">
        <x:f>IF(H172="","",VLOOKUP($H172,구분표!$K$3:$M$151,2,FALSE))</x:f>
        <x:v/>
      </x:c>
      <x:c r="J172" s="156" t="str">
        <x:f>IF(I172="","",VLOOKUP($H172,구분표!$K$3:$M$151,3,FALSE))</x:f>
        <x:v/>
      </x:c>
      <x:c r="K172" s="233"/>
      <x:c r="L172" s="233"/>
      <x:c r="M172" s="459" t="str">
        <x:f t="shared" si="128"/>
        <x:v/>
      </x:c>
      <x:c r="N172" s="459" t="str">
        <x:f t="shared" si="129"/>
        <x:v/>
      </x:c>
      <x:c r="O172" s="461" t="str">
        <x:f t="shared" si="121"/>
        <x:v/>
      </x:c>
      <x:c r="P172" s="460"/>
      <x:c r="Q172" s="461">
        <x:f t="shared" si="122"/>
        <x:v>0</x:v>
      </x:c>
      <x:c r="R172" s="462"/>
      <x:c r="S172" s="463">
        <x:f t="shared" si="123"/>
        <x:v>0</x:v>
      </x:c>
      <x:c r="T172" s="162" t="str">
        <x:f t="shared" si="124"/>
        <x:v>X</x:v>
      </x:c>
      <x:c r="U172" s="220"/>
      <x:c r="V172" s="331"/>
      <x:c r="W172" s="221"/>
      <x:c r="X172" s="222"/>
      <x:c r="Y172" s="220"/>
      <x:c r="Z172" s="222"/>
      <x:c r="AA172" s="220"/>
      <x:c r="AB172" s="20"/>
      <x:c r="AC172" s="487">
        <x:f t="shared" si="125"/>
        <x:v>0</x:v>
      </x:c>
      <x:c r="AD172" s="487">
        <x:f t="shared" si="3"/>
        <x:v>0</x:v>
      </x:c>
      <x:c r="AE172" s="487">
        <x:f t="shared" si="4"/>
        <x:v>0</x:v>
      </x:c>
      <x:c r="AF172" s="374" t="str">
        <x:f t="shared" si="126"/>
        <x:v/>
      </x:c>
      <x:c r="AG172" s="165"/>
      <x:c r="AH172" s="487">
        <x:f t="shared" si="5"/>
        <x:v>0</x:v>
      </x:c>
      <x:c r="AI172" s="487">
        <x:f t="shared" si="6"/>
        <x:v>0</x:v>
      </x:c>
      <x:c r="AJ172" s="487">
        <x:f t="shared" si="7"/>
        <x:v>0</x:v>
      </x:c>
      <x:c r="AK172" s="374" t="str">
        <x:f t="shared" si="8"/>
        <x:v/>
      </x:c>
      <x:c r="AL172" s="8"/>
      <x:c r="AM172" s="533"/>
      <x:c r="AN172" s="374" t="str">
        <x:f>IF($AM172="","",IF($AM172="세입없음","OK",IF(COUNTIF('3. 일입'!$AN$8:$AN$2000,$AM172),"OK","@@")))</x:f>
        <x:v/>
      </x:c>
      <x:c r="AO172" s="356" t="str">
        <x:f t="shared" si="9"/>
        <x:v/>
      </x:c>
      <x:c r="AP172" s="374" t="str">
        <x:f t="shared" si="10"/>
        <x:v/>
      </x:c>
      <x:c r="AQ172" s="93"/>
      <x:c r="AR172" s="374" t="str">
        <x:f t="array" ref="AR172:AR172">IF(OR($D172="",$C172="직접입력",$B172="직접입력"),"",INDEX(구분표!$I$3:$I$321,MATCH(1,(구분표!$G$3:$G$321=$B172)*(구분표!$E$3:$E$321=$C172)*(구분표!$F$3:$F$321=$D172),0)))</x:f>
        <x:v/>
      </x:c>
      <x:c r="AS172" s="21"/>
    </x:row>
    <x:row r="173" spans="1:45" s="20" customFormat="1" ht="80.099999999999994" customHeight="1">
      <x:c r="A173" s="155" t="str">
        <x:f>IF(D173="","",COUNTA($C$7:C173)-COUNTBLANK($C$7:C173)+11)</x:f>
        <x:v/>
      </x:c>
      <x:c r="B173" s="156" t="str">
        <x: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x:f>
        <x:v/>
      </x:c>
      <x:c r="C173" s="156" t="str">
        <x:f>IF(D173="","",IF(OR(D173="교육지원과",D173="총무과",D173="인사과"),"직접입력",VLOOKUP(D173,구분표!$A$3:$C$258,3,)))</x:f>
        <x:v/>
      </x:c>
      <x:c r="D173" s="219"/>
      <x:c r="E173" s="213"/>
      <x:c r="F173" s="388" t="str">
        <x:f t="shared" si="127"/>
        <x:v/>
      </x:c>
      <x:c r="G173" s="388" t="str">
        <x:f t="shared" si="127"/>
        <x:v/>
      </x:c>
      <x:c r="H173" s="213"/>
      <x:c r="I173" s="156" t="str">
        <x:f>IF(H173="","",VLOOKUP($H173,구분표!$K$3:$M$151,2,FALSE))</x:f>
        <x:v/>
      </x:c>
      <x:c r="J173" s="156" t="str">
        <x:f>IF(I173="","",VLOOKUP($H173,구분표!$K$3:$M$151,3,FALSE))</x:f>
        <x:v/>
      </x:c>
      <x:c r="K173" s="233"/>
      <x:c r="L173" s="233"/>
      <x:c r="M173" s="459" t="str">
        <x:f t="shared" si="128"/>
        <x:v/>
      </x:c>
      <x:c r="N173" s="459" t="str">
        <x:f t="shared" si="129"/>
        <x:v/>
      </x:c>
      <x:c r="O173" s="461" t="str">
        <x:f t="shared" si="121"/>
        <x:v/>
      </x:c>
      <x:c r="P173" s="460"/>
      <x:c r="Q173" s="461">
        <x:f t="shared" si="122"/>
        <x:v>0</x:v>
      </x:c>
      <x:c r="R173" s="462"/>
      <x:c r="S173" s="463">
        <x:f t="shared" si="123"/>
        <x:v>0</x:v>
      </x:c>
      <x:c r="T173" s="162" t="str">
        <x:f t="shared" si="124"/>
        <x:v>X</x:v>
      </x:c>
      <x:c r="U173" s="220"/>
      <x:c r="V173" s="331"/>
      <x:c r="W173" s="221"/>
      <x:c r="X173" s="222"/>
      <x:c r="Y173" s="220"/>
      <x:c r="Z173" s="222"/>
      <x:c r="AA173" s="220"/>
      <x:c r="AC173" s="487">
        <x:f t="shared" si="125"/>
        <x:v>0</x:v>
      </x:c>
      <x:c r="AD173" s="487">
        <x:f t="shared" si="3"/>
        <x:v>0</x:v>
      </x:c>
      <x:c r="AE173" s="487">
        <x:f t="shared" si="4"/>
        <x:v>0</x:v>
      </x:c>
      <x:c r="AF173" s="374" t="str">
        <x:f t="shared" si="126"/>
        <x:v/>
      </x:c>
      <x:c r="AG173" s="165"/>
      <x:c r="AH173" s="487">
        <x:f t="shared" si="5"/>
        <x:v>0</x:v>
      </x:c>
      <x:c r="AI173" s="487">
        <x:f t="shared" si="6"/>
        <x:v>0</x:v>
      </x:c>
      <x:c r="AJ173" s="487">
        <x:f t="shared" si="7"/>
        <x:v>0</x:v>
      </x:c>
      <x:c r="AK173" s="374" t="str">
        <x:f t="shared" si="8"/>
        <x:v/>
      </x:c>
      <x:c r="AL173" s="8"/>
      <x:c r="AM173" s="533"/>
      <x:c r="AN173" s="374" t="str">
        <x:f>IF($AM173="","",IF($AM173="세입없음","OK",IF(COUNTIF('3. 일입'!$AN$8:$AN$2000,$AM173),"OK","@@")))</x:f>
        <x:v/>
      </x:c>
      <x:c r="AO173" s="356" t="str">
        <x:f t="shared" si="9"/>
        <x:v/>
      </x:c>
      <x:c r="AP173" s="374" t="str">
        <x:f t="shared" si="10"/>
        <x:v/>
      </x:c>
      <x:c r="AQ173" s="93"/>
      <x:c r="AR173" s="374" t="str">
        <x:f t="array" ref="AR173:AR173">IF(OR($D173="",$C173="직접입력",$B173="직접입력"),"",INDEX(구분표!$I$3:$I$321,MATCH(1,(구분표!$G$3:$G$321=$B173)*(구분표!$E$3:$E$321=$C173)*(구분표!$F$3:$F$321=$D173),0)))</x:f>
        <x:v/>
      </x:c>
      <x:c r="AS173" s="21"/>
    </x:row>
    <x:row r="174" spans="1:45" s="20" customFormat="1" ht="80.099999999999994" customHeight="1">
      <x:c r="A174" s="155" t="str">
        <x:f>IF(D174="","",COUNTA($C$7:C174)-COUNTBLANK($C$7:C174)+11)</x:f>
        <x:v/>
      </x:c>
      <x:c r="B174" s="156" t="str">
        <x: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x:f>
        <x:v/>
      </x:c>
      <x:c r="C174" s="156" t="str">
        <x:f>IF(D174="","",IF(OR(D174="교육지원과",D174="총무과",D174="인사과"),"직접입력",VLOOKUP(D174,구분표!$A$3:$C$258,3,)))</x:f>
        <x:v/>
      </x:c>
      <x:c r="D174" s="219"/>
      <x:c r="E174" s="213"/>
      <x:c r="F174" s="388" t="str">
        <x:f t="shared" si="127"/>
        <x:v/>
      </x:c>
      <x:c r="G174" s="388" t="str">
        <x:f t="shared" si="127"/>
        <x:v/>
      </x:c>
      <x:c r="H174" s="213"/>
      <x:c r="I174" s="156" t="str">
        <x:f>IF(H174="","",VLOOKUP($H174,구분표!$K$3:$M$151,2,FALSE))</x:f>
        <x:v/>
      </x:c>
      <x:c r="J174" s="156" t="str">
        <x:f>IF(I174="","",VLOOKUP($H174,구분표!$K$3:$M$151,3,FALSE))</x:f>
        <x:v/>
      </x:c>
      <x:c r="K174" s="233"/>
      <x:c r="L174" s="233"/>
      <x:c r="M174" s="459" t="str">
        <x:f t="shared" si="128"/>
        <x:v/>
      </x:c>
      <x:c r="N174" s="459" t="str">
        <x:f t="shared" si="129"/>
        <x:v/>
      </x:c>
      <x:c r="O174" s="461" t="str">
        <x:f t="shared" si="121"/>
        <x:v/>
      </x:c>
      <x:c r="P174" s="460"/>
      <x:c r="Q174" s="461">
        <x:f t="shared" si="122"/>
        <x:v>0</x:v>
      </x:c>
      <x:c r="R174" s="462"/>
      <x:c r="S174" s="463">
        <x:f t="shared" si="123"/>
        <x:v>0</x:v>
      </x:c>
      <x:c r="T174" s="162" t="str">
        <x:f t="shared" si="124"/>
        <x:v>X</x:v>
      </x:c>
      <x:c r="U174" s="220"/>
      <x:c r="V174" s="331"/>
      <x:c r="W174" s="221"/>
      <x:c r="X174" s="222"/>
      <x:c r="Y174" s="220"/>
      <x:c r="Z174" s="222"/>
      <x:c r="AA174" s="220"/>
      <x:c r="AC174" s="487">
        <x:f t="shared" si="125"/>
        <x:v>0</x:v>
      </x:c>
      <x:c r="AD174" s="487">
        <x:f t="shared" si="3"/>
        <x:v>0</x:v>
      </x:c>
      <x:c r="AE174" s="487">
        <x:f t="shared" si="4"/>
        <x:v>0</x:v>
      </x:c>
      <x:c r="AF174" s="374" t="str">
        <x:f t="shared" si="126"/>
        <x:v/>
      </x:c>
      <x:c r="AG174" s="165"/>
      <x:c r="AH174" s="487">
        <x:f t="shared" si="5"/>
        <x:v>0</x:v>
      </x:c>
      <x:c r="AI174" s="487">
        <x:f t="shared" si="6"/>
        <x:v>0</x:v>
      </x:c>
      <x:c r="AJ174" s="487">
        <x:f t="shared" si="7"/>
        <x:v>0</x:v>
      </x:c>
      <x:c r="AK174" s="374" t="str">
        <x:f t="shared" si="8"/>
        <x:v/>
      </x:c>
      <x:c r="AL174" s="8"/>
      <x:c r="AM174" s="533"/>
      <x:c r="AN174" s="374" t="str">
        <x:f>IF($AM174="","",IF($AM174="세입없음","OK",IF(COUNTIF('3. 일입'!$AN$8:$AN$2000,$AM174),"OK","@@")))</x:f>
        <x:v/>
      </x:c>
      <x:c r="AO174" s="356" t="str">
        <x:f t="shared" si="9"/>
        <x:v/>
      </x:c>
      <x:c r="AP174" s="374" t="str">
        <x:f t="shared" si="10"/>
        <x:v/>
      </x:c>
      <x:c r="AQ174" s="93"/>
      <x:c r="AR174" s="374" t="str">
        <x:f t="array" ref="AR174:AR174">IF(OR($D174="",$C174="직접입력",$B174="직접입력"),"",INDEX(구분표!$I$3:$I$321,MATCH(1,(구분표!$G$3:$G$321=$B174)*(구분표!$E$3:$E$321=$C174)*(구분표!$F$3:$F$321=$D174),0)))</x:f>
        <x:v/>
      </x:c>
      <x:c r="AS174" s="21"/>
    </x:row>
    <x:row r="175" spans="1:45" s="20" customFormat="1" ht="80.099999999999994" customHeight="1">
      <x:c r="A175" s="155" t="str">
        <x:f>IF(D175="","",COUNTA($C$7:C175)-COUNTBLANK($C$7:C175)+11)</x:f>
        <x:v/>
      </x:c>
      <x:c r="B175" s="156" t="str">
        <x: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x:f>
        <x:v/>
      </x:c>
      <x:c r="C175" s="156" t="str">
        <x:f>IF(D175="","",IF(OR(D175="교육지원과",D175="총무과",D175="인사과"),"직접입력",VLOOKUP(D175,구분표!$A$3:$C$258,3,)))</x:f>
        <x:v/>
      </x:c>
      <x:c r="D175" s="219"/>
      <x:c r="E175" s="213"/>
      <x:c r="F175" s="388" t="str">
        <x:f t="shared" si="127"/>
        <x:v/>
      </x:c>
      <x:c r="G175" s="388" t="str">
        <x:f t="shared" si="127"/>
        <x:v/>
      </x:c>
      <x:c r="H175" s="213"/>
      <x:c r="I175" s="156" t="str">
        <x:f>IF(H175="","",VLOOKUP($H175,구분표!$K$3:$M$151,2,FALSE))</x:f>
        <x:v/>
      </x:c>
      <x:c r="J175" s="156" t="str">
        <x:f>IF(I175="","",VLOOKUP($H175,구분표!$K$3:$M$151,3,FALSE))</x:f>
        <x:v/>
      </x:c>
      <x:c r="K175" s="233"/>
      <x:c r="L175" s="233"/>
      <x:c r="M175" s="459" t="str">
        <x:f t="shared" si="128"/>
        <x:v/>
      </x:c>
      <x:c r="N175" s="459" t="str">
        <x:f t="shared" si="129"/>
        <x:v/>
      </x:c>
      <x:c r="O175" s="461" t="str">
        <x:f t="shared" si="121"/>
        <x:v/>
      </x:c>
      <x:c r="P175" s="460"/>
      <x:c r="Q175" s="461">
        <x:f t="shared" si="122"/>
        <x:v>0</x:v>
      </x:c>
      <x:c r="R175" s="462"/>
      <x:c r="S175" s="463">
        <x:f t="shared" si="123"/>
        <x:v>0</x:v>
      </x:c>
      <x:c r="T175" s="162" t="str">
        <x:f t="shared" si="124"/>
        <x:v>X</x:v>
      </x:c>
      <x:c r="U175" s="220"/>
      <x:c r="V175" s="331"/>
      <x:c r="W175" s="221"/>
      <x:c r="X175" s="222"/>
      <x:c r="Y175" s="220"/>
      <x:c r="Z175" s="222"/>
      <x:c r="AA175" s="220"/>
      <x:c r="AC175" s="487">
        <x:f t="shared" si="125"/>
        <x:v>0</x:v>
      </x:c>
      <x:c r="AD175" s="487">
        <x:f t="shared" si="3"/>
        <x:v>0</x:v>
      </x:c>
      <x:c r="AE175" s="487">
        <x:f t="shared" si="4"/>
        <x:v>0</x:v>
      </x:c>
      <x:c r="AF175" s="374" t="str">
        <x:f t="shared" si="126"/>
        <x:v/>
      </x:c>
      <x:c r="AG175" s="165"/>
      <x:c r="AH175" s="487">
        <x:f t="shared" si="5"/>
        <x:v>0</x:v>
      </x:c>
      <x:c r="AI175" s="487">
        <x:f t="shared" si="6"/>
        <x:v>0</x:v>
      </x:c>
      <x:c r="AJ175" s="487">
        <x:f t="shared" si="7"/>
        <x:v>0</x:v>
      </x:c>
      <x:c r="AK175" s="374" t="str">
        <x:f t="shared" si="8"/>
        <x:v/>
      </x:c>
      <x:c r="AL175" s="8"/>
      <x:c r="AM175" s="533"/>
      <x:c r="AN175" s="374" t="str">
        <x:f>IF($AM175="","",IF($AM175="세입없음","OK",IF(COUNTIF('3. 일입'!$AN$8:$AN$2000,$AM175),"OK","@@")))</x:f>
        <x:v/>
      </x:c>
      <x:c r="AO175" s="356" t="str">
        <x:f t="shared" si="9"/>
        <x:v/>
      </x:c>
      <x:c r="AP175" s="374" t="str">
        <x:f t="shared" si="10"/>
        <x:v/>
      </x:c>
      <x:c r="AQ175" s="93"/>
      <x:c r="AR175" s="374" t="str">
        <x:f t="array" ref="AR175:AR175">IF(OR($D175="",$C175="직접입력",$B175="직접입력"),"",INDEX(구분표!$I$3:$I$321,MATCH(1,(구분표!$G$3:$G$321=$B175)*(구분표!$E$3:$E$321=$C175)*(구분표!$F$3:$F$321=$D175),0)))</x:f>
        <x:v/>
      </x:c>
      <x:c r="AS175" s="21"/>
    </x:row>
    <x:row r="176" spans="1:45" s="20" customFormat="1" ht="80.099999999999994" customHeight="1">
      <x:c r="A176" s="155" t="str">
        <x:f>IF(D176="","",COUNTA($C$7:C176)-COUNTBLANK($C$7:C176)+11)</x:f>
        <x:v/>
      </x:c>
      <x:c r="B176" s="156" t="str">
        <x: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x:f>
        <x:v/>
      </x:c>
      <x:c r="C176" s="156" t="str">
        <x:f>IF(D176="","",IF(OR(D176="교육지원과",D176="총무과",D176="인사과"),"직접입력",VLOOKUP(D176,구분표!$A$3:$C$258,3,)))</x:f>
        <x:v/>
      </x:c>
      <x:c r="D176" s="219"/>
      <x:c r="E176" s="213"/>
      <x:c r="F176" s="388" t="str">
        <x:f t="shared" si="127"/>
        <x:v/>
      </x:c>
      <x:c r="G176" s="388" t="str">
        <x:f t="shared" si="127"/>
        <x:v/>
      </x:c>
      <x:c r="H176" s="213"/>
      <x:c r="I176" s="156" t="str">
        <x:f>IF(H176="","",VLOOKUP($H176,구분표!$K$3:$M$151,2,FALSE))</x:f>
        <x:v/>
      </x:c>
      <x:c r="J176" s="156" t="str">
        <x:f>IF(I176="","",VLOOKUP($H176,구분표!$K$3:$M$151,3,FALSE))</x:f>
        <x:v/>
      </x:c>
      <x:c r="K176" s="233"/>
      <x:c r="L176" s="233"/>
      <x:c r="M176" s="459" t="str">
        <x:f t="shared" si="128"/>
        <x:v/>
      </x:c>
      <x:c r="N176" s="459" t="str">
        <x:f t="shared" si="129"/>
        <x:v/>
      </x:c>
      <x:c r="O176" s="461" t="str">
        <x:f t="shared" si="121"/>
        <x:v/>
      </x:c>
      <x:c r="P176" s="460"/>
      <x:c r="Q176" s="461">
        <x:f t="shared" si="122"/>
        <x:v>0</x:v>
      </x:c>
      <x:c r="R176" s="462"/>
      <x:c r="S176" s="463">
        <x:f t="shared" si="123"/>
        <x:v>0</x:v>
      </x:c>
      <x:c r="T176" s="162" t="str">
        <x:f t="shared" si="124"/>
        <x:v>X</x:v>
      </x:c>
      <x:c r="U176" s="220"/>
      <x:c r="V176" s="331"/>
      <x:c r="W176" s="221"/>
      <x:c r="X176" s="222"/>
      <x:c r="Y176" s="220"/>
      <x:c r="Z176" s="222"/>
      <x:c r="AA176" s="220"/>
      <x:c r="AC176" s="487">
        <x:f t="shared" si="125"/>
        <x:v>0</x:v>
      </x:c>
      <x:c r="AD176" s="487">
        <x:f t="shared" si="3"/>
        <x:v>0</x:v>
      </x:c>
      <x:c r="AE176" s="487">
        <x:f t="shared" si="4"/>
        <x:v>0</x:v>
      </x:c>
      <x:c r="AF176" s="374" t="str">
        <x:f t="shared" si="126"/>
        <x:v/>
      </x:c>
      <x:c r="AG176" s="165"/>
      <x:c r="AH176" s="487">
        <x:f t="shared" si="5"/>
        <x:v>0</x:v>
      </x:c>
      <x:c r="AI176" s="487">
        <x:f t="shared" si="6"/>
        <x:v>0</x:v>
      </x:c>
      <x:c r="AJ176" s="487">
        <x:f t="shared" si="7"/>
        <x:v>0</x:v>
      </x:c>
      <x:c r="AK176" s="374" t="str">
        <x:f t="shared" si="8"/>
        <x:v/>
      </x:c>
      <x:c r="AL176" s="8"/>
      <x:c r="AM176" s="533"/>
      <x:c r="AN176" s="374" t="str">
        <x:f>IF($AM176="","",IF($AM176="세입없음","OK",IF(COUNTIF('3. 일입'!$AN$8:$AN$2000,$AM176),"OK","@@")))</x:f>
        <x:v/>
      </x:c>
      <x:c r="AO176" s="356" t="str">
        <x:f t="shared" si="9"/>
        <x:v/>
      </x:c>
      <x:c r="AP176" s="374" t="str">
        <x:f t="shared" si="10"/>
        <x:v/>
      </x:c>
      <x:c r="AQ176" s="93"/>
      <x:c r="AR176" s="374" t="str">
        <x:f t="array" ref="AR176:AR176">IF(OR($D176="",$C176="직접입력",$B176="직접입력"),"",INDEX(구분표!$I$3:$I$321,MATCH(1,(구분표!$G$3:$G$321=$B176)*(구분표!$E$3:$E$321=$C176)*(구분표!$F$3:$F$321=$D176),0)))</x:f>
        <x:v/>
      </x:c>
      <x:c r="AS176" s="21"/>
    </x:row>
    <x:row r="177" spans="1:45" s="157" customFormat="1" ht="80.099999999999994" customHeight="1">
      <x:c r="A177" s="155" t="str">
        <x:f>IF(D177="","",COUNTA($C$7:C177)-COUNTBLANK($C$7:C177)+11)</x:f>
        <x:v/>
      </x:c>
      <x:c r="B177" s="156" t="str">
        <x: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x:f>
        <x:v/>
      </x:c>
      <x:c r="C177" s="156" t="str">
        <x:f>IF(D177="","",IF(OR(D177="교육지원과",D177="총무과",D177="인사과"),"직접입력",VLOOKUP(D177,구분표!$A$3:$C$258,3,)))</x:f>
        <x:v/>
      </x:c>
      <x:c r="D177" s="219"/>
      <x:c r="E177" s="213"/>
      <x:c r="F177" s="388" t="str">
        <x:f t="shared" si="127"/>
        <x:v/>
      </x:c>
      <x:c r="G177" s="388" t="str">
        <x:f t="shared" si="127"/>
        <x:v/>
      </x:c>
      <x:c r="H177" s="213"/>
      <x:c r="I177" s="156" t="str">
        <x:f>IF(H177="","",VLOOKUP($H177,구분표!$K$3:$M$151,2,FALSE))</x:f>
        <x:v/>
      </x:c>
      <x:c r="J177" s="156" t="str">
        <x:f>IF(I177="","",VLOOKUP($H177,구분표!$K$3:$M$151,3,FALSE))</x:f>
        <x:v/>
      </x:c>
      <x:c r="K177" s="233"/>
      <x:c r="L177" s="233"/>
      <x:c r="M177" s="459" t="str">
        <x:f t="shared" si="128"/>
        <x:v/>
      </x:c>
      <x:c r="N177" s="459" t="str">
        <x:f t="shared" si="129"/>
        <x:v/>
      </x:c>
      <x:c r="O177" s="461" t="str">
        <x:f t="shared" si="121"/>
        <x:v/>
      </x:c>
      <x:c r="P177" s="460"/>
      <x:c r="Q177" s="461">
        <x:f t="shared" si="122"/>
        <x:v>0</x:v>
      </x:c>
      <x:c r="R177" s="462"/>
      <x:c r="S177" s="463">
        <x:f t="shared" si="123"/>
        <x:v>0</x:v>
      </x:c>
      <x:c r="T177" s="162" t="str">
        <x:f t="shared" si="124"/>
        <x:v>X</x:v>
      </x:c>
      <x:c r="U177" s="220"/>
      <x:c r="V177" s="331"/>
      <x:c r="W177" s="221"/>
      <x:c r="X177" s="222"/>
      <x:c r="Y177" s="220"/>
      <x:c r="Z177" s="222"/>
      <x:c r="AA177" s="220"/>
      <x:c r="AB177" s="20"/>
      <x:c r="AC177" s="487">
        <x:f t="shared" si="125"/>
        <x:v>0</x:v>
      </x:c>
      <x:c r="AD177" s="487">
        <x:f t="shared" si="3"/>
        <x:v>0</x:v>
      </x:c>
      <x:c r="AE177" s="487">
        <x:f t="shared" si="4"/>
        <x:v>0</x:v>
      </x:c>
      <x:c r="AF177" s="374" t="str">
        <x:f t="shared" si="126"/>
        <x:v/>
      </x:c>
      <x:c r="AG177" s="165"/>
      <x:c r="AH177" s="487">
        <x:f t="shared" si="5"/>
        <x:v>0</x:v>
      </x:c>
      <x:c r="AI177" s="487">
        <x:f t="shared" si="6"/>
        <x:v>0</x:v>
      </x:c>
      <x:c r="AJ177" s="487">
        <x:f t="shared" si="7"/>
        <x:v>0</x:v>
      </x:c>
      <x:c r="AK177" s="374" t="str">
        <x:f t="shared" si="8"/>
        <x:v/>
      </x:c>
      <x:c r="AL177" s="8"/>
      <x:c r="AM177" s="533"/>
      <x:c r="AN177" s="374" t="str">
        <x:f>IF($AM177="","",IF($AM177="세입없음","OK",IF(COUNTIF('3. 일입'!$AN$8:$AN$2000,$AM177),"OK","@@")))</x:f>
        <x:v/>
      </x:c>
      <x:c r="AO177" s="356" t="str">
        <x:f t="shared" si="9"/>
        <x:v/>
      </x:c>
      <x:c r="AP177" s="374" t="str">
        <x:f t="shared" si="10"/>
        <x:v/>
      </x:c>
      <x:c r="AQ177" s="93"/>
      <x:c r="AR177" s="374" t="str">
        <x:f t="array" ref="AR177:AR177">IF(OR($D177="",$C177="직접입력",$B177="직접입력"),"",INDEX(구분표!$I$3:$I$321,MATCH(1,(구분표!$G$3:$G$321=$B177)*(구분표!$E$3:$E$321=$C177)*(구분표!$F$3:$F$321=$D177),0)))</x:f>
        <x:v/>
      </x:c>
      <x:c r="AS177" s="21"/>
    </x:row>
    <x:row r="178" spans="1:45" s="20" customFormat="1" ht="80.099999999999994" customHeight="1">
      <x:c r="A178" s="155" t="str">
        <x:f>IF(D178="","",COUNTA($C$7:C178)-COUNTBLANK($C$7:C178)+11)</x:f>
        <x:v/>
      </x:c>
      <x:c r="B178" s="156" t="str">
        <x: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x:f>
        <x:v/>
      </x:c>
      <x:c r="C178" s="156" t="str">
        <x:f>IF(D178="","",IF(OR(D178="교육지원과",D178="총무과",D178="인사과"),"직접입력",VLOOKUP(D178,구분표!$A$3:$C$258,3,)))</x:f>
        <x:v/>
      </x:c>
      <x:c r="D178" s="219"/>
      <x:c r="E178" s="213"/>
      <x:c r="F178" s="388" t="str">
        <x:f t="shared" si="127"/>
        <x:v/>
      </x:c>
      <x:c r="G178" s="388" t="str">
        <x:f t="shared" si="127"/>
        <x:v/>
      </x:c>
      <x:c r="H178" s="213"/>
      <x:c r="I178" s="156" t="str">
        <x:f>IF(H178="","",VLOOKUP($H178,구분표!$K$3:$M$151,2,FALSE))</x:f>
        <x:v/>
      </x:c>
      <x:c r="J178" s="156" t="str">
        <x:f>IF(I178="","",VLOOKUP($H178,구분표!$K$3:$M$151,3,FALSE))</x:f>
        <x:v/>
      </x:c>
      <x:c r="K178" s="233"/>
      <x:c r="L178" s="233"/>
      <x:c r="M178" s="459" t="str">
        <x:f t="shared" si="128"/>
        <x:v/>
      </x:c>
      <x:c r="N178" s="459" t="str">
        <x:f t="shared" si="129"/>
        <x:v/>
      </x:c>
      <x:c r="O178" s="461" t="str">
        <x:f t="shared" si="121"/>
        <x:v/>
      </x:c>
      <x:c r="P178" s="460"/>
      <x:c r="Q178" s="461">
        <x:f t="shared" si="122"/>
        <x:v>0</x:v>
      </x:c>
      <x:c r="R178" s="462"/>
      <x:c r="S178" s="463">
        <x:f t="shared" si="123"/>
        <x:v>0</x:v>
      </x:c>
      <x:c r="T178" s="162" t="str">
        <x:f t="shared" si="124"/>
        <x:v>X</x:v>
      </x:c>
      <x:c r="U178" s="220"/>
      <x:c r="V178" s="331"/>
      <x:c r="W178" s="221"/>
      <x:c r="X178" s="222"/>
      <x:c r="Y178" s="220"/>
      <x:c r="Z178" s="222"/>
      <x:c r="AA178" s="220"/>
      <x:c r="AC178" s="487">
        <x:f t="shared" si="125"/>
        <x:v>0</x:v>
      </x:c>
      <x:c r="AD178" s="487">
        <x:f t="shared" si="3"/>
        <x:v>0</x:v>
      </x:c>
      <x:c r="AE178" s="487">
        <x:f t="shared" si="4"/>
        <x:v>0</x:v>
      </x:c>
      <x:c r="AF178" s="374" t="str">
        <x:f t="shared" si="126"/>
        <x:v/>
      </x:c>
      <x:c r="AG178" s="165"/>
      <x:c r="AH178" s="487">
        <x:f t="shared" si="5"/>
        <x:v>0</x:v>
      </x:c>
      <x:c r="AI178" s="487">
        <x:f t="shared" si="6"/>
        <x:v>0</x:v>
      </x:c>
      <x:c r="AJ178" s="487">
        <x:f t="shared" si="7"/>
        <x:v>0</x:v>
      </x:c>
      <x:c r="AK178" s="374" t="str">
        <x:f t="shared" si="8"/>
        <x:v/>
      </x:c>
      <x:c r="AL178" s="8"/>
      <x:c r="AM178" s="533"/>
      <x:c r="AN178" s="374" t="str">
        <x:f>IF($AM178="","",IF($AM178="세입없음","OK",IF(COUNTIF('3. 일입'!$AN$8:$AN$2000,$AM178),"OK","@@")))</x:f>
        <x:v/>
      </x:c>
      <x:c r="AO178" s="356" t="str">
        <x:f t="shared" si="9"/>
        <x:v/>
      </x:c>
      <x:c r="AP178" s="374" t="str">
        <x:f t="shared" si="10"/>
        <x:v/>
      </x:c>
      <x:c r="AQ178" s="93"/>
      <x:c r="AR178" s="374" t="str">
        <x:f t="array" ref="AR178:AR178">IF(OR($D178="",$C178="직접입력",$B178="직접입력"),"",INDEX(구분표!$I$3:$I$321,MATCH(1,(구분표!$G$3:$G$321=$B178)*(구분표!$E$3:$E$321=$C178)*(구분표!$F$3:$F$321=$D178),0)))</x:f>
        <x:v/>
      </x:c>
      <x:c r="AS178" s="21"/>
    </x:row>
    <x:row r="179" spans="1:45" s="20" customFormat="1" ht="80.099999999999994" customHeight="1">
      <x:c r="A179" s="155" t="str">
        <x:f>IF(D179="","",COUNTA($C$7:C179)-COUNTBLANK($C$7:C179)+11)</x:f>
        <x:v/>
      </x:c>
      <x:c r="B179" s="156" t="str">
        <x: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x:f>
        <x:v/>
      </x:c>
      <x:c r="C179" s="156" t="str">
        <x:f>IF(D179="","",IF(OR(D179="교육지원과",D179="총무과",D179="인사과"),"직접입력",VLOOKUP(D179,구분표!$A$3:$C$258,3,)))</x:f>
        <x:v/>
      </x:c>
      <x:c r="D179" s="219"/>
      <x:c r="E179" s="213"/>
      <x:c r="F179" s="388" t="str">
        <x:f t="shared" si="127"/>
        <x:v/>
      </x:c>
      <x:c r="G179" s="388" t="str">
        <x:f t="shared" si="127"/>
        <x:v/>
      </x:c>
      <x:c r="H179" s="213"/>
      <x:c r="I179" s="156" t="str">
        <x:f>IF(H179="","",VLOOKUP($H179,구분표!$K$3:$M$151,2,FALSE))</x:f>
        <x:v/>
      </x:c>
      <x:c r="J179" s="156" t="str">
        <x:f>IF(I179="","",VLOOKUP($H179,구분표!$K$3:$M$151,3,FALSE))</x:f>
        <x:v/>
      </x:c>
      <x:c r="K179" s="233"/>
      <x:c r="L179" s="233"/>
      <x:c r="M179" s="459" t="str">
        <x:f t="shared" si="128"/>
        <x:v/>
      </x:c>
      <x:c r="N179" s="459" t="str">
        <x:f t="shared" si="129"/>
        <x:v/>
      </x:c>
      <x:c r="O179" s="461" t="str">
        <x:f t="shared" si="121"/>
        <x:v/>
      </x:c>
      <x:c r="P179" s="460"/>
      <x:c r="Q179" s="461">
        <x:f t="shared" si="122"/>
        <x:v>0</x:v>
      </x:c>
      <x:c r="R179" s="462"/>
      <x:c r="S179" s="463">
        <x:f t="shared" si="123"/>
        <x:v>0</x:v>
      </x:c>
      <x:c r="T179" s="162" t="str">
        <x:f t="shared" si="124"/>
        <x:v>X</x:v>
      </x:c>
      <x:c r="U179" s="220"/>
      <x:c r="V179" s="331"/>
      <x:c r="W179" s="221"/>
      <x:c r="X179" s="222"/>
      <x:c r="Y179" s="220"/>
      <x:c r="Z179" s="222"/>
      <x:c r="AA179" s="220"/>
      <x:c r="AC179" s="487">
        <x:f t="shared" si="125"/>
        <x:v>0</x:v>
      </x:c>
      <x:c r="AD179" s="487">
        <x:f t="shared" si="3"/>
        <x:v>0</x:v>
      </x:c>
      <x:c r="AE179" s="487">
        <x:f t="shared" si="4"/>
        <x:v>0</x:v>
      </x:c>
      <x:c r="AF179" s="374" t="str">
        <x:f t="shared" si="126"/>
        <x:v/>
      </x:c>
      <x:c r="AG179" s="165"/>
      <x:c r="AH179" s="487">
        <x:f t="shared" si="5"/>
        <x:v>0</x:v>
      </x:c>
      <x:c r="AI179" s="487">
        <x:f t="shared" si="6"/>
        <x:v>0</x:v>
      </x:c>
      <x:c r="AJ179" s="487">
        <x:f t="shared" si="7"/>
        <x:v>0</x:v>
      </x:c>
      <x:c r="AK179" s="374" t="str">
        <x:f t="shared" si="8"/>
        <x:v/>
      </x:c>
      <x:c r="AL179" s="8"/>
      <x:c r="AM179" s="533"/>
      <x:c r="AN179" s="374" t="str">
        <x:f>IF($AM179="","",IF($AM179="세입없음","OK",IF(COUNTIF('3. 일입'!$AN$8:$AN$2000,$AM179),"OK","@@")))</x:f>
        <x:v/>
      </x:c>
      <x:c r="AO179" s="356" t="str">
        <x:f t="shared" si="9"/>
        <x:v/>
      </x:c>
      <x:c r="AP179" s="374" t="str">
        <x:f t="shared" si="10"/>
        <x:v/>
      </x:c>
      <x:c r="AQ179" s="93"/>
      <x:c r="AR179" s="374" t="str">
        <x:f t="array" ref="AR179:AR179">IF(OR($D179="",$C179="직접입력",$B179="직접입력"),"",INDEX(구분표!$I$3:$I$321,MATCH(1,(구분표!$G$3:$G$321=$B179)*(구분표!$E$3:$E$321=$C179)*(구분표!$F$3:$F$321=$D179),0)))</x:f>
        <x:v/>
      </x:c>
      <x:c r="AS179" s="21"/>
    </x:row>
    <x:row r="180" spans="1:45" s="20" customFormat="1" ht="80.099999999999994" customHeight="1">
      <x:c r="A180" s="155" t="str">
        <x:f>IF(D180="","",COUNTA($C$7:C180)-COUNTBLANK($C$7:C180)+11)</x:f>
        <x:v/>
      </x:c>
      <x:c r="B180" s="156" t="str">
        <x: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x:f>
        <x:v/>
      </x:c>
      <x:c r="C180" s="156" t="str">
        <x:f>IF(D180="","",IF(OR(D180="교육지원과",D180="총무과",D180="인사과"),"직접입력",VLOOKUP(D180,구분표!$A$3:$C$258,3,)))</x:f>
        <x:v/>
      </x:c>
      <x:c r="D180" s="219"/>
      <x:c r="E180" s="213"/>
      <x:c r="F180" s="388" t="str">
        <x:f t="shared" si="127"/>
        <x:v/>
      </x:c>
      <x:c r="G180" s="388" t="str">
        <x:f t="shared" si="127"/>
        <x:v/>
      </x:c>
      <x:c r="H180" s="213"/>
      <x:c r="I180" s="156" t="str">
        <x:f>IF(H180="","",VLOOKUP($H180,구분표!$K$3:$M$151,2,FALSE))</x:f>
        <x:v/>
      </x:c>
      <x:c r="J180" s="156" t="str">
        <x:f>IF(I180="","",VLOOKUP($H180,구분표!$K$3:$M$151,3,FALSE))</x:f>
        <x:v/>
      </x:c>
      <x:c r="K180" s="233"/>
      <x:c r="L180" s="233"/>
      <x:c r="M180" s="459" t="str">
        <x:f t="shared" si="128"/>
        <x:v/>
      </x:c>
      <x:c r="N180" s="459" t="str">
        <x:f t="shared" si="129"/>
        <x:v/>
      </x:c>
      <x:c r="O180" s="461" t="str">
        <x:f t="shared" si="121"/>
        <x:v/>
      </x:c>
      <x:c r="P180" s="460"/>
      <x:c r="Q180" s="461">
        <x:f t="shared" si="122"/>
        <x:v>0</x:v>
      </x:c>
      <x:c r="R180" s="462"/>
      <x:c r="S180" s="463">
        <x:f t="shared" si="123"/>
        <x:v>0</x:v>
      </x:c>
      <x:c r="T180" s="162" t="str">
        <x:f t="shared" si="124"/>
        <x:v>X</x:v>
      </x:c>
      <x:c r="U180" s="220"/>
      <x:c r="V180" s="331"/>
      <x:c r="W180" s="221"/>
      <x:c r="X180" s="222"/>
      <x:c r="Y180" s="220"/>
      <x:c r="Z180" s="222"/>
      <x:c r="AA180" s="220"/>
      <x:c r="AC180" s="487">
        <x:f t="shared" si="125"/>
        <x:v>0</x:v>
      </x:c>
      <x:c r="AD180" s="487">
        <x:f t="shared" si="3"/>
        <x:v>0</x:v>
      </x:c>
      <x:c r="AE180" s="487">
        <x:f t="shared" si="4"/>
        <x:v>0</x:v>
      </x:c>
      <x:c r="AF180" s="374" t="str">
        <x:f t="shared" si="126"/>
        <x:v/>
      </x:c>
      <x:c r="AG180" s="165"/>
      <x:c r="AH180" s="487">
        <x:f t="shared" si="5"/>
        <x:v>0</x:v>
      </x:c>
      <x:c r="AI180" s="487">
        <x:f t="shared" si="6"/>
        <x:v>0</x:v>
      </x:c>
      <x:c r="AJ180" s="487">
        <x:f t="shared" si="7"/>
        <x:v>0</x:v>
      </x:c>
      <x:c r="AK180" s="374" t="str">
        <x:f t="shared" si="8"/>
        <x:v/>
      </x:c>
      <x:c r="AL180" s="8"/>
      <x:c r="AM180" s="533"/>
      <x:c r="AN180" s="374" t="str">
        <x:f>IF($AM180="","",IF($AM180="세입없음","OK",IF(COUNTIF('3. 일입'!$AN$8:$AN$2000,$AM180),"OK","@@")))</x:f>
        <x:v/>
      </x:c>
      <x:c r="AO180" s="356" t="str">
        <x:f t="shared" si="9"/>
        <x:v/>
      </x:c>
      <x:c r="AP180" s="374" t="str">
        <x:f t="shared" si="10"/>
        <x:v/>
      </x:c>
      <x:c r="AQ180" s="93"/>
      <x:c r="AR180" s="374" t="str">
        <x:f t="array" ref="AR180:AR180">IF(OR($D180="",$C180="직접입력",$B180="직접입력"),"",INDEX(구분표!$I$3:$I$321,MATCH(1,(구분표!$G$3:$G$321=$B180)*(구분표!$E$3:$E$321=$C180)*(구분표!$F$3:$F$321=$D180),0)))</x:f>
        <x:v/>
      </x:c>
      <x:c r="AS180" s="21"/>
    </x:row>
    <x:row r="181" spans="1:45" s="20" customFormat="1" ht="80.099999999999994" customHeight="1">
      <x:c r="A181" s="155" t="str">
        <x:f>IF(D181="","",COUNTA($C$7:C181)-COUNTBLANK($C$7:C181)+11)</x:f>
        <x:v/>
      </x:c>
      <x:c r="B181" s="156" t="str">
        <x: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x:f>
        <x:v/>
      </x:c>
      <x:c r="C181" s="156" t="str">
        <x:f>IF(D181="","",IF(OR(D181="교육지원과",D181="총무과",D181="인사과"),"직접입력",VLOOKUP(D181,구분표!$A$3:$C$258,3,)))</x:f>
        <x:v/>
      </x:c>
      <x:c r="D181" s="219"/>
      <x:c r="E181" s="213"/>
      <x:c r="F181" s="388" t="str">
        <x:f t="shared" si="127"/>
        <x:v/>
      </x:c>
      <x:c r="G181" s="388" t="str">
        <x:f t="shared" si="127"/>
        <x:v/>
      </x:c>
      <x:c r="H181" s="213"/>
      <x:c r="I181" s="156" t="str">
        <x:f>IF(H181="","",VLOOKUP($H181,구분표!$K$3:$M$151,2,FALSE))</x:f>
        <x:v/>
      </x:c>
      <x:c r="J181" s="156" t="str">
        <x:f>IF(I181="","",VLOOKUP($H181,구분표!$K$3:$M$151,3,FALSE))</x:f>
        <x:v/>
      </x:c>
      <x:c r="K181" s="233"/>
      <x:c r="L181" s="233"/>
      <x:c r="M181" s="459" t="str">
        <x:f t="shared" si="128"/>
        <x:v/>
      </x:c>
      <x:c r="N181" s="459" t="str">
        <x:f t="shared" si="129"/>
        <x:v/>
      </x:c>
      <x:c r="O181" s="461" t="str">
        <x:f t="shared" si="121"/>
        <x:v/>
      </x:c>
      <x:c r="P181" s="460"/>
      <x:c r="Q181" s="461">
        <x:f t="shared" si="122"/>
        <x:v>0</x:v>
      </x:c>
      <x:c r="R181" s="462"/>
      <x:c r="S181" s="463">
        <x:f t="shared" si="123"/>
        <x:v>0</x:v>
      </x:c>
      <x:c r="T181" s="162" t="str">
        <x:f t="shared" si="124"/>
        <x:v>X</x:v>
      </x:c>
      <x:c r="U181" s="220"/>
      <x:c r="V181" s="331"/>
      <x:c r="W181" s="221"/>
      <x:c r="X181" s="222"/>
      <x:c r="Y181" s="220"/>
      <x:c r="Z181" s="222"/>
      <x:c r="AA181" s="220"/>
      <x:c r="AC181" s="487">
        <x:f t="shared" si="125"/>
        <x:v>0</x:v>
      </x:c>
      <x:c r="AD181" s="487">
        <x:f t="shared" si="3"/>
        <x:v>0</x:v>
      </x:c>
      <x:c r="AE181" s="487">
        <x:f t="shared" si="4"/>
        <x:v>0</x:v>
      </x:c>
      <x:c r="AF181" s="374" t="str">
        <x:f t="shared" si="126"/>
        <x:v/>
      </x:c>
      <x:c r="AG181" s="165"/>
      <x:c r="AH181" s="487">
        <x:f t="shared" si="5"/>
        <x:v>0</x:v>
      </x:c>
      <x:c r="AI181" s="487">
        <x:f t="shared" si="6"/>
        <x:v>0</x:v>
      </x:c>
      <x:c r="AJ181" s="487">
        <x:f t="shared" si="7"/>
        <x:v>0</x:v>
      </x:c>
      <x:c r="AK181" s="374" t="str">
        <x:f t="shared" si="8"/>
        <x:v/>
      </x:c>
      <x:c r="AL181" s="8"/>
      <x:c r="AM181" s="533"/>
      <x:c r="AN181" s="374" t="str">
        <x:f>IF($AM181="","",IF($AM181="세입없음","OK",IF(COUNTIF('3. 일입'!$AN$8:$AN$2000,$AM181),"OK","@@")))</x:f>
        <x:v/>
      </x:c>
      <x:c r="AO181" s="356" t="str">
        <x:f t="shared" si="9"/>
        <x:v/>
      </x:c>
      <x:c r="AP181" s="374" t="str">
        <x:f t="shared" si="10"/>
        <x:v/>
      </x:c>
      <x:c r="AQ181" s="93"/>
      <x:c r="AR181" s="374" t="str">
        <x:f t="array" ref="AR181:AR181">IF(OR($D181="",$C181="직접입력",$B181="직접입력"),"",INDEX(구분표!$I$3:$I$321,MATCH(1,(구분표!$G$3:$G$321=$B181)*(구분표!$E$3:$E$321=$C181)*(구분표!$F$3:$F$321=$D181),0)))</x:f>
        <x:v/>
      </x:c>
      <x:c r="AS181" s="21"/>
    </x:row>
    <x:row r="182" spans="1:45" s="157" customFormat="1" ht="80.099999999999994" customHeight="1">
      <x:c r="A182" s="155" t="str">
        <x:f>IF(D182="","",COUNTA($C$7:C182)-COUNTBLANK($C$7:C182)+11)</x:f>
        <x:v/>
      </x:c>
      <x:c r="B182" s="156" t="str">
        <x: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x:f>
        <x:v/>
      </x:c>
      <x:c r="C182" s="156" t="str">
        <x:f>IF(D182="","",IF(OR(D182="교육지원과",D182="총무과",D182="인사과"),"직접입력",VLOOKUP(D182,구분표!$A$3:$C$258,3,)))</x:f>
        <x:v/>
      </x:c>
      <x:c r="D182" s="219"/>
      <x:c r="E182" s="213"/>
      <x:c r="F182" s="388" t="str">
        <x:f t="shared" si="127"/>
        <x:v/>
      </x:c>
      <x:c r="G182" s="388" t="str">
        <x:f t="shared" si="127"/>
        <x:v/>
      </x:c>
      <x:c r="H182" s="213"/>
      <x:c r="I182" s="156" t="str">
        <x:f>IF(H182="","",VLOOKUP($H182,구분표!$K$3:$M$151,2,FALSE))</x:f>
        <x:v/>
      </x:c>
      <x:c r="J182" s="156" t="str">
        <x:f>IF(I182="","",VLOOKUP($H182,구분표!$K$3:$M$151,3,FALSE))</x:f>
        <x:v/>
      </x:c>
      <x:c r="K182" s="233"/>
      <x:c r="L182" s="233"/>
      <x:c r="M182" s="459" t="str">
        <x:f t="shared" si="128"/>
        <x:v/>
      </x:c>
      <x:c r="N182" s="459" t="str">
        <x:f t="shared" si="129"/>
        <x:v/>
      </x:c>
      <x:c r="O182" s="461" t="str">
        <x:f t="shared" si="121"/>
        <x:v/>
      </x:c>
      <x:c r="P182" s="460"/>
      <x:c r="Q182" s="461">
        <x:f t="shared" si="122"/>
        <x:v>0</x:v>
      </x:c>
      <x:c r="R182" s="462"/>
      <x:c r="S182" s="463">
        <x:f t="shared" si="123"/>
        <x:v>0</x:v>
      </x:c>
      <x:c r="T182" s="162" t="str">
        <x:f t="shared" si="124"/>
        <x:v>X</x:v>
      </x:c>
      <x:c r="U182" s="220"/>
      <x:c r="V182" s="331"/>
      <x:c r="W182" s="221"/>
      <x:c r="X182" s="222"/>
      <x:c r="Y182" s="220"/>
      <x:c r="Z182" s="222"/>
      <x:c r="AA182" s="220"/>
      <x:c r="AB182" s="20"/>
      <x:c r="AC182" s="487">
        <x:f t="shared" si="125"/>
        <x:v>0</x:v>
      </x:c>
      <x:c r="AD182" s="487">
        <x:f t="shared" si="3"/>
        <x:v>0</x:v>
      </x:c>
      <x:c r="AE182" s="487">
        <x:f t="shared" si="4"/>
        <x:v>0</x:v>
      </x:c>
      <x:c r="AF182" s="374" t="str">
        <x:f t="shared" si="126"/>
        <x:v/>
      </x:c>
      <x:c r="AG182" s="165"/>
      <x:c r="AH182" s="487">
        <x:f t="shared" si="5"/>
        <x:v>0</x:v>
      </x:c>
      <x:c r="AI182" s="487">
        <x:f t="shared" si="6"/>
        <x:v>0</x:v>
      </x:c>
      <x:c r="AJ182" s="487">
        <x:f t="shared" si="7"/>
        <x:v>0</x:v>
      </x:c>
      <x:c r="AK182" s="374" t="str">
        <x:f t="shared" si="8"/>
        <x:v/>
      </x:c>
      <x:c r="AL182" s="8"/>
      <x:c r="AM182" s="533"/>
      <x:c r="AN182" s="374" t="str">
        <x:f>IF($AM182="","",IF($AM182="세입없음","OK",IF(COUNTIF('3. 일입'!$AN$8:$AN$2000,$AM182),"OK","@@")))</x:f>
        <x:v/>
      </x:c>
      <x:c r="AO182" s="356" t="str">
        <x:f t="shared" si="9"/>
        <x:v/>
      </x:c>
      <x:c r="AP182" s="374" t="str">
        <x:f t="shared" si="10"/>
        <x:v/>
      </x:c>
      <x:c r="AQ182" s="93"/>
      <x:c r="AR182" s="374" t="str">
        <x:f t="array" ref="AR182:AR182">IF(OR($D182="",$C182="직접입력",$B182="직접입력"),"",INDEX(구분표!$I$3:$I$321,MATCH(1,(구분표!$G$3:$G$321=$B182)*(구분표!$E$3:$E$321=$C182)*(구분표!$F$3:$F$321=$D182),0)))</x:f>
        <x:v/>
      </x:c>
      <x:c r="AS182" s="21"/>
    </x:row>
    <x:row r="183" ht="60" customHeight="1"/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autoFilter ref="A6:AS182"/>
  <x:mergeCells count="56">
    <x:mergeCell ref="B55:G55"/>
    <x:mergeCell ref="G3:G5"/>
    <x:mergeCell ref="O3:O5"/>
    <x:mergeCell ref="I3:I5"/>
    <x:mergeCell ref="J3:J5"/>
    <x:mergeCell ref="H3:H5"/>
    <x:mergeCell ref="K3:K5"/>
    <x:mergeCell ref="M3:M5"/>
    <x:mergeCell ref="N3:N5"/>
    <x:mergeCell ref="A1:AA1"/>
    <x:mergeCell ref="B2:L2"/>
    <x:mergeCell ref="A3:A5"/>
    <x:mergeCell ref="B3:B5"/>
    <x:mergeCell ref="C3:C5"/>
    <x:mergeCell ref="D3:D5"/>
    <x:mergeCell ref="E3:E5"/>
    <x:mergeCell ref="F3:F5"/>
    <x:mergeCell ref="Q3:Q5"/>
    <x:mergeCell ref="U3:U5"/>
    <x:mergeCell ref="V3:V5"/>
    <x:mergeCell ref="S3:S5"/>
    <x:mergeCell ref="T3:T5"/>
    <x:mergeCell ref="Z3:Z5"/>
    <x:mergeCell ref="X3:X5"/>
    <x:mergeCell ref="Y3:Y5"/>
    <x:mergeCell ref="B167:G167"/>
    <x:mergeCell ref="L3:L5"/>
    <x:mergeCell ref="Y2:AA2"/>
    <x:mergeCell ref="AA3:AA5"/>
    <x:mergeCell ref="W3:W5"/>
    <x:mergeCell ref="P3:P5"/>
    <x:mergeCell ref="R3:R5"/>
    <x:mergeCell ref="B151:G151"/>
    <x:mergeCell ref="B7:G7"/>
    <x:mergeCell ref="B119:G119"/>
    <x:mergeCell ref="B103:G103"/>
    <x:mergeCell ref="B135:G135"/>
    <x:mergeCell ref="B71:G71"/>
    <x:mergeCell ref="B87:G87"/>
    <x:mergeCell ref="B23:G23"/>
    <x:mergeCell ref="B39:G39"/>
    <x:mergeCell ref="AC1:AF1"/>
    <x:mergeCell ref="AC3:AF3"/>
    <x:mergeCell ref="AH1:AK1"/>
    <x:mergeCell ref="AH3:AK3"/>
    <x:mergeCell ref="AF4:AF5"/>
    <x:mergeCell ref="AC4:AE4"/>
    <x:mergeCell ref="AK4:AK5"/>
    <x:mergeCell ref="AH4:AJ4"/>
    <x:mergeCell ref="AM1:AP1"/>
    <x:mergeCell ref="AR3:AR5"/>
    <x:mergeCell ref="AM3:AP3"/>
    <x:mergeCell ref="AM4:AM5"/>
    <x:mergeCell ref="AO4:AO5"/>
    <x:mergeCell ref="AP4:AP5"/>
    <x:mergeCell ref="AN4:AN5"/>
  </x:mergeCells>
  <x:conditionalFormatting sqref="F1:G2 F6:G7 F39:G39 F55:G55 F71:G71 F87:G87 F103:G103 F119:G119 F135:G135 F151:G151 F167:G167 F183:G1048576 F23:G23">
    <x:cfRule type="containsText" dxfId="1103" priority="3276" operator="containsText" text="직접입력">
      <x:formula>NOT(ISERROR(SEARCH("직접입력",F1)))</x:formula>
    </x:cfRule>
  </x:conditionalFormatting>
  <x:conditionalFormatting sqref="O1:O2 O183:O1048576 M6:O6">
    <x:cfRule type="containsText" dxfId="1102" priority="3275" operator="containsText" text="금액입력">
      <x:formula>NOT(ISERROR(SEARCH("금액입력",M1)))</x:formula>
    </x:cfRule>
  </x:conditionalFormatting>
  <x:conditionalFormatting sqref="K1:K22 K24:K38 K40:K54 K56:K70 K72:K86 K88:K102 K104:K118 K120:K134 K136:K150 K152:K166 K168:K1048576">
    <x:cfRule type="containsText" dxfId="1101" priority="3274" operator="containsText" text="세부사업명 입력">
      <x:formula>NOT(ISERROR(SEARCH("세부사업명 입력",K1)))</x:formula>
    </x:cfRule>
  </x:conditionalFormatting>
  <x:conditionalFormatting sqref="L1:N2 L183:N1048576 L3:L22 L24:L38 L40:L54 L56:L70 L72:L86 L88:L102 L104:L118 L120:L134 L136:L150 L152:L166 L168:L182">
    <x:cfRule type="containsText" dxfId="1100" priority="3273" operator="containsText" text="부기명 입력">
      <x:formula>NOT(ISERROR(SEARCH("부기명 입력",L1)))</x:formula>
    </x:cfRule>
  </x:conditionalFormatting>
  <x:conditionalFormatting sqref="AD183:AD1989">
    <x:cfRule type="expression" dxfId="1099" priority="3268">
      <x:formula>FIND("(지방채)",$L183)&gt;0</x:formula>
    </x:cfRule>
  </x:conditionalFormatting>
  <x:conditionalFormatting sqref="AE183:AE1989">
    <x:cfRule type="expression" dxfId="1098" priority="3267">
      <x:formula>FIND("(지역개발기금)",$L183)&gt;0</x:formula>
    </x:cfRule>
  </x:conditionalFormatting>
  <x:conditionalFormatting sqref="AI183:AI1989">
    <x:cfRule type="expression" dxfId="1097" priority="3266">
      <x:formula>FIND("(지방채)",$L183)&gt;0</x:formula>
    </x:cfRule>
  </x:conditionalFormatting>
  <x:conditionalFormatting sqref="AJ183:AJ1989">
    <x:cfRule type="expression" dxfId="1096" priority="3265">
      <x:formula>FIND("(지역개발기금)",$L183)&gt;0</x:formula>
    </x:cfRule>
  </x:conditionalFormatting>
  <x:conditionalFormatting sqref="AM8:AM22 AM24:AM38 AM40:AM54 AM56:AM70 AM72:AM86 AM88:AM102 AM104:AM118 AM120:AM134 AM136:AM150 AM152:AM166 AM168:AM1989">
    <x:cfRule type="expression" dxfId="1095" priority="3263">
      <x:formula>FIND("(지역개발기금)",$L8)&gt;0</x:formula>
    </x:cfRule>
  </x:conditionalFormatting>
  <x:conditionalFormatting sqref="AC183:AC1048576 AH183:AH1048576 AC1:AC7 AH1:AH7">
    <x:cfRule type="containsText" dxfId="1094" priority="3262" operator="containsText" text="입력필요">
      <x:formula>NOT(ISERROR(SEARCH("입력필요",AC1)))</x:formula>
    </x:cfRule>
  </x:conditionalFormatting>
  <x:conditionalFormatting sqref="O8:O22 O24:O38 O40:O54 O56:O70 O72:O86 O88:O102 O104:O118 O120:O134 O136:O150 O152:O166 O168:O182">
    <x:cfRule type="containsText" dxfId="1093" priority="2634" operator="containsText" text="금액입력">
      <x:formula>NOT(ISERROR(SEARCH("금액입력",O8)))</x:formula>
    </x:cfRule>
  </x:conditionalFormatting>
  <x:conditionalFormatting sqref="O7:S7">
    <x:cfRule type="containsText" dxfId="1092" priority="2626" operator="containsText" text="금액입력">
      <x:formula>NOT(ISERROR(SEARCH("금액입력",O7)))</x:formula>
    </x:cfRule>
  </x:conditionalFormatting>
  <x:conditionalFormatting sqref="K23:K23">
    <x:cfRule type="containsText" dxfId="1091" priority="2580" operator="containsText" text="세부사업명 입력">
      <x:formula>NOT(ISERROR(SEARCH("세부사업명 입력",K23)))</x:formula>
    </x:cfRule>
  </x:conditionalFormatting>
  <x:conditionalFormatting sqref="L23:L23">
    <x:cfRule type="containsText" dxfId="1090" priority="2579" operator="containsText" text="부기명 입력">
      <x:formula>NOT(ISERROR(SEARCH("부기명 입력",L23)))</x:formula>
    </x:cfRule>
  </x:conditionalFormatting>
  <x:conditionalFormatting sqref="O23:S23">
    <x:cfRule type="containsText" dxfId="1089" priority="2558" operator="containsText" text="금액입력">
      <x:formula>NOT(ISERROR(SEARCH("금액입력",O23)))</x:formula>
    </x:cfRule>
  </x:conditionalFormatting>
  <x:conditionalFormatting sqref="K39:K39">
    <x:cfRule type="containsText" dxfId="1088" priority="2556" operator="containsText" text="세부사업명 입력">
      <x:formula>NOT(ISERROR(SEARCH("세부사업명 입력",K39)))</x:formula>
    </x:cfRule>
  </x:conditionalFormatting>
  <x:conditionalFormatting sqref="L39:L39">
    <x:cfRule type="containsText" dxfId="1087" priority="2555" operator="containsText" text="부기명 입력">
      <x:formula>NOT(ISERROR(SEARCH("부기명 입력",L39)))</x:formula>
    </x:cfRule>
  </x:conditionalFormatting>
  <x:conditionalFormatting sqref="O39:S39">
    <x:cfRule type="containsText" dxfId="1086" priority="2534" operator="containsText" text="금액입력">
      <x:formula>NOT(ISERROR(SEARCH("금액입력",O39)))</x:formula>
    </x:cfRule>
  </x:conditionalFormatting>
  <x:conditionalFormatting sqref="K55:K55">
    <x:cfRule type="containsText" dxfId="1085" priority="2532" operator="containsText" text="세부사업명 입력">
      <x:formula>NOT(ISERROR(SEARCH("세부사업명 입력",K55)))</x:formula>
    </x:cfRule>
  </x:conditionalFormatting>
  <x:conditionalFormatting sqref="L55:L55">
    <x:cfRule type="containsText" dxfId="1084" priority="2531" operator="containsText" text="부기명 입력">
      <x:formula>NOT(ISERROR(SEARCH("부기명 입력",L55)))</x:formula>
    </x:cfRule>
  </x:conditionalFormatting>
  <x:conditionalFormatting sqref="O55:S55">
    <x:cfRule type="containsText" dxfId="1083" priority="2510" operator="containsText" text="금액입력">
      <x:formula>NOT(ISERROR(SEARCH("금액입력",O55)))</x:formula>
    </x:cfRule>
  </x:conditionalFormatting>
  <x:conditionalFormatting sqref="K71:K71">
    <x:cfRule type="containsText" dxfId="1082" priority="2508" operator="containsText" text="세부사업명 입력">
      <x:formula>NOT(ISERROR(SEARCH("세부사업명 입력",K71)))</x:formula>
    </x:cfRule>
  </x:conditionalFormatting>
  <x:conditionalFormatting sqref="L71:L71">
    <x:cfRule type="containsText" dxfId="1081" priority="2507" operator="containsText" text="부기명 입력">
      <x:formula>NOT(ISERROR(SEARCH("부기명 입력",L71)))</x:formula>
    </x:cfRule>
  </x:conditionalFormatting>
  <x:conditionalFormatting sqref="O71:S71">
    <x:cfRule type="containsText" dxfId="1080" priority="2486" operator="containsText" text="금액입력">
      <x:formula>NOT(ISERROR(SEARCH("금액입력",O71)))</x:formula>
    </x:cfRule>
  </x:conditionalFormatting>
  <x:conditionalFormatting sqref="K87:K87">
    <x:cfRule type="containsText" dxfId="1079" priority="2484" operator="containsText" text="세부사업명 입력">
      <x:formula>NOT(ISERROR(SEARCH("세부사업명 입력",K87)))</x:formula>
    </x:cfRule>
  </x:conditionalFormatting>
  <x:conditionalFormatting sqref="L87:L87">
    <x:cfRule type="containsText" dxfId="1078" priority="2483" operator="containsText" text="부기명 입력">
      <x:formula>NOT(ISERROR(SEARCH("부기명 입력",L87)))</x:formula>
    </x:cfRule>
  </x:conditionalFormatting>
  <x:conditionalFormatting sqref="O87:S87">
    <x:cfRule type="containsText" dxfId="1077" priority="2462" operator="containsText" text="금액입력">
      <x:formula>NOT(ISERROR(SEARCH("금액입력",O87)))</x:formula>
    </x:cfRule>
  </x:conditionalFormatting>
  <x:conditionalFormatting sqref="K103:K103">
    <x:cfRule type="containsText" dxfId="1076" priority="2460" operator="containsText" text="세부사업명 입력">
      <x:formula>NOT(ISERROR(SEARCH("세부사업명 입력",K103)))</x:formula>
    </x:cfRule>
  </x:conditionalFormatting>
  <x:conditionalFormatting sqref="L103:L103">
    <x:cfRule type="containsText" dxfId="1075" priority="2459" operator="containsText" text="부기명 입력">
      <x:formula>NOT(ISERROR(SEARCH("부기명 입력",L103)))</x:formula>
    </x:cfRule>
  </x:conditionalFormatting>
  <x:conditionalFormatting sqref="O103:S103">
    <x:cfRule type="containsText" dxfId="1074" priority="2438" operator="containsText" text="금액입력">
      <x:formula>NOT(ISERROR(SEARCH("금액입력",O103)))</x:formula>
    </x:cfRule>
  </x:conditionalFormatting>
  <x:conditionalFormatting sqref="K119:K119">
    <x:cfRule type="containsText" dxfId="1073" priority="2436" operator="containsText" text="세부사업명 입력">
      <x:formula>NOT(ISERROR(SEARCH("세부사업명 입력",K119)))</x:formula>
    </x:cfRule>
  </x:conditionalFormatting>
  <x:conditionalFormatting sqref="L119:L119">
    <x:cfRule type="containsText" dxfId="1072" priority="2435" operator="containsText" text="부기명 입력">
      <x:formula>NOT(ISERROR(SEARCH("부기명 입력",L119)))</x:formula>
    </x:cfRule>
  </x:conditionalFormatting>
  <x:conditionalFormatting sqref="O119:S119">
    <x:cfRule type="containsText" dxfId="1071" priority="2414" operator="containsText" text="금액입력">
      <x:formula>NOT(ISERROR(SEARCH("금액입력",O119)))</x:formula>
    </x:cfRule>
  </x:conditionalFormatting>
  <x:conditionalFormatting sqref="K135:K135">
    <x:cfRule type="containsText" dxfId="1070" priority="2412" operator="containsText" text="세부사업명 입력">
      <x:formula>NOT(ISERROR(SEARCH("세부사업명 입력",K135)))</x:formula>
    </x:cfRule>
  </x:conditionalFormatting>
  <x:conditionalFormatting sqref="L135:L135">
    <x:cfRule type="containsText" dxfId="1069" priority="2411" operator="containsText" text="부기명 입력">
      <x:formula>NOT(ISERROR(SEARCH("부기명 입력",L135)))</x:formula>
    </x:cfRule>
  </x:conditionalFormatting>
  <x:conditionalFormatting sqref="O135:S135">
    <x:cfRule type="containsText" dxfId="1068" priority="2390" operator="containsText" text="금액입력">
      <x:formula>NOT(ISERROR(SEARCH("금액입력",O135)))</x:formula>
    </x:cfRule>
  </x:conditionalFormatting>
  <x:conditionalFormatting sqref="K151:K151">
    <x:cfRule type="containsText" dxfId="1067" priority="2388" operator="containsText" text="세부사업명 입력">
      <x:formula>NOT(ISERROR(SEARCH("세부사업명 입력",K151)))</x:formula>
    </x:cfRule>
  </x:conditionalFormatting>
  <x:conditionalFormatting sqref="L151:L151">
    <x:cfRule type="containsText" dxfId="1066" priority="2387" operator="containsText" text="부기명 입력">
      <x:formula>NOT(ISERROR(SEARCH("부기명 입력",L151)))</x:formula>
    </x:cfRule>
  </x:conditionalFormatting>
  <x:conditionalFormatting sqref="O151:S151">
    <x:cfRule type="containsText" dxfId="1065" priority="2366" operator="containsText" text="금액입력">
      <x:formula>NOT(ISERROR(SEARCH("금액입력",O151)))</x:formula>
    </x:cfRule>
  </x:conditionalFormatting>
  <x:conditionalFormatting sqref="K167:K167">
    <x:cfRule type="containsText" dxfId="1064" priority="2364" operator="containsText" text="세부사업명 입력">
      <x:formula>NOT(ISERROR(SEARCH("세부사업명 입력",K167)))</x:formula>
    </x:cfRule>
  </x:conditionalFormatting>
  <x:conditionalFormatting sqref="L167:L167">
    <x:cfRule type="containsText" dxfId="1063" priority="2363" operator="containsText" text="부기명 입력">
      <x:formula>NOT(ISERROR(SEARCH("부기명 입력",L167)))</x:formula>
    </x:cfRule>
  </x:conditionalFormatting>
  <x:conditionalFormatting sqref="O167:S167">
    <x:cfRule type="containsText" dxfId="1062" priority="2342" operator="containsText" text="금액입력">
      <x:formula>NOT(ISERROR(SEARCH("금액입력",O167)))</x:formula>
    </x:cfRule>
  </x:conditionalFormatting>
  <x:conditionalFormatting sqref="F3:G5">
    <x:cfRule type="containsText" dxfId="1061" priority="2289" operator="containsText" text="직접입력">
      <x:formula>NOT(ISERROR(SEARCH("직접입력",F3)))</x:formula>
    </x:cfRule>
  </x:conditionalFormatting>
  <x:conditionalFormatting sqref="O3:O5">
    <x:cfRule type="containsText" dxfId="1060" priority="2285" operator="containsText" text="금액입력">
      <x:formula>NOT(ISERROR(SEARCH("금액입력",O3)))</x:formula>
    </x:cfRule>
  </x:conditionalFormatting>
  <x:conditionalFormatting sqref="AF6:AF6">
    <x:cfRule type="containsText" dxfId="1059" priority="1405" operator="containsText" text="@@">
      <x:formula>NOT(ISERROR(SEARCH("@@",AF6)))</x:formula>
    </x:cfRule>
  </x:conditionalFormatting>
  <x:conditionalFormatting sqref="AP6:AP6">
    <x:cfRule type="containsText" dxfId="1058" priority="1403" operator="containsText" text="@@">
      <x:formula>NOT(ISERROR(SEARCH("@@",AP6)))</x:formula>
    </x:cfRule>
  </x:conditionalFormatting>
  <x:conditionalFormatting sqref="AF8:AF22 AF24:AF38 AF40:AF54 AF56:AF70 AF72:AF86 AF88:AF102 AF104:AF118 AF120:AF134 AF136:AF150 AF152:AF166 AF168:AF182">
    <x:cfRule type="containsText" dxfId="1057" priority="1401" operator="containsText" text="@@">
      <x:formula>NOT(ISERROR(SEARCH("@@",AF8)))</x:formula>
    </x:cfRule>
  </x:conditionalFormatting>
  <x:conditionalFormatting sqref="AN8:AN22 AN24:AN38 AN40:AN54 AN56:AN70 AN72:AN86 AN88:AN102 AN104:AN118 AN120:AN134 AN136:AN150 AN152:AN166 AN168:AN182">
    <x:cfRule type="containsText" dxfId="1056" priority="1399" operator="containsText" text="@@">
      <x:formula>NOT(ISERROR(SEARCH("@@",AN8)))</x:formula>
    </x:cfRule>
  </x:conditionalFormatting>
  <x:conditionalFormatting sqref="AP8:AP22 AP24:AP38 AP40:AP54 AP56:AP70 AP72:AP86 AP88:AP102 AP104:AP118 AP120:AP134 AP136:AP150 AP152:AP166 AP168:AP182">
    <x:cfRule type="containsText" dxfId="1055" priority="1398" operator="containsText" text="@@">
      <x:formula>NOT(ISERROR(SEARCH("@@",AP8)))</x:formula>
    </x:cfRule>
  </x:conditionalFormatting>
  <x:conditionalFormatting sqref="AC23:AC23 AH23:AH23">
    <x:cfRule type="containsText" dxfId="1054" priority="881" operator="containsText" text="입력필요">
      <x:formula>NOT(ISERROR(SEARCH("입력필요",AC23)))</x:formula>
    </x:cfRule>
  </x:conditionalFormatting>
  <x:conditionalFormatting sqref="AK6:AK6">
    <x:cfRule type="containsText" dxfId="1053" priority="1217" operator="containsText" text="@@">
      <x:formula>NOT(ISERROR(SEARCH("@@",AK6)))</x:formula>
    </x:cfRule>
  </x:conditionalFormatting>
  <x:conditionalFormatting sqref="AN6:AN6">
    <x:cfRule type="containsText" dxfId="1052" priority="1216" operator="containsText" text="@@">
      <x:formula>NOT(ISERROR(SEARCH("@@",AN6)))</x:formula>
    </x:cfRule>
  </x:conditionalFormatting>
  <x:conditionalFormatting sqref="AE8:AE22 AE24:AE38 AE40:AE54 AE56:AE70 AE72:AE86 AE88:AE102 AE104:AE118 AE120:AE134 AE136:AE150 AE152:AE166 AE168:AE182">
    <x:cfRule type="expression" dxfId="1051" priority="1210">
      <x:formula>FIND("(지역개발기금)",$L8)&gt;0</x:formula>
    </x:cfRule>
  </x:conditionalFormatting>
  <x:conditionalFormatting sqref="AC8:AC22 AC24:AC38 AC40:AC54 AC56:AC70 AC72:AC86 AC88:AC102 AC104:AC118 AC120:AC134 AC136:AC150 AC152:AC166 AC168:AC182">
    <x:cfRule type="containsText" dxfId="1050" priority="1209" operator="containsText" text="국비입력필요">
      <x:formula>NOT(ISERROR(SEARCH("국비입력필요",AC8)))</x:formula>
    </x:cfRule>
  </x:conditionalFormatting>
  <x:conditionalFormatting sqref="AC8:AC22 AC24:AC38 AC40:AC54 AC56:AC70 AC72:AC86 AC88:AC102 AC104:AC118 AC120:AC134 AC136:AC150 AC152:AC166 AC168:AC182">
    <x:cfRule type="containsText" dxfId="1049" priority="1208" operator="containsText" text="입력필요">
      <x:formula>NOT(ISERROR(SEARCH("입력필요",AC8)))</x:formula>
    </x:cfRule>
  </x:conditionalFormatting>
  <x:conditionalFormatting sqref="AD8:AD22 AD24:AD38 AD40:AD54 AD56:AD70 AD72:AD86 AD88:AD102 AD104:AD118 AD120:AD134 AD136:AD150 AD152:AD166 AD168:AD182">
    <x:cfRule type="expression" dxfId="1048" priority="1207">
      <x:formula>FIND("(지방채)",$L8)&gt;0</x:formula>
    </x:cfRule>
  </x:conditionalFormatting>
  <x:conditionalFormatting sqref="AI8:AI22 AI24:AI38 AI40:AI54 AI56:AI70 AI72:AI86 AI88:AI102 AI104:AI118 AI120:AI134 AI136:AI150 AI152:AI166 AI168:AI182">
    <x:cfRule type="expression" dxfId="1047" priority="1201">
      <x:formula>FIND("(지방채)",$L8)&gt;0</x:formula>
    </x:cfRule>
  </x:conditionalFormatting>
  <x:conditionalFormatting sqref="AJ8:AJ22 AJ24:AJ38 AJ40:AJ54 AJ56:AJ70 AJ72:AJ86 AJ88:AJ102 AJ104:AJ118 AJ120:AJ134 AJ136:AJ150 AJ152:AJ166 AJ168:AJ182">
    <x:cfRule type="expression" dxfId="1046" priority="1200">
      <x:formula>FIND("(지역개발기금)",$L8)&gt;0</x:formula>
    </x:cfRule>
  </x:conditionalFormatting>
  <x:conditionalFormatting sqref="AH8:AH22 AH24:AH38 AH40:AH54 AH56:AH70 AH72:AH86 AH88:AH102 AH104:AH118 AH120:AH134 AH136:AH150 AH152:AH166 AH168:AH182">
    <x:cfRule type="containsText" dxfId="1045" priority="1199" operator="containsText" text="입력필요">
      <x:formula>NOT(ISERROR(SEARCH("입력필요",AH8)))</x:formula>
    </x:cfRule>
  </x:conditionalFormatting>
  <x:conditionalFormatting sqref="AK8:AK22 AK24:AK38 AK40:AK54 AK56:AK70 AK72:AK86 AK88:AK102 AK104:AK118 AK120:AK134 AK136:AK150 AK152:AK166 AK168:AK182">
    <x:cfRule type="containsText" dxfId="1044" priority="1198" operator="containsText" text="@@">
      <x:formula>NOT(ISERROR(SEARCH("@@",AK8)))</x:formula>
    </x:cfRule>
  </x:conditionalFormatting>
  <x:conditionalFormatting sqref="AC39:AC39 AH39:AH39">
    <x:cfRule type="containsText" dxfId="1043" priority="850" operator="containsText" text="입력필요">
      <x:formula>NOT(ISERROR(SEARCH("입력필요",AC39)))</x:formula>
    </x:cfRule>
  </x:conditionalFormatting>
  <x:conditionalFormatting sqref="AC55:AC55 AH55:AH55">
    <x:cfRule type="containsText" dxfId="1042" priority="819" operator="containsText" text="입력필요">
      <x:formula>NOT(ISERROR(SEARCH("입력필요",AC55)))</x:formula>
    </x:cfRule>
  </x:conditionalFormatting>
  <x:conditionalFormatting sqref="AC71:AC71 AH71:AH71">
    <x:cfRule type="containsText" dxfId="1041" priority="788" operator="containsText" text="입력필요">
      <x:formula>NOT(ISERROR(SEARCH("입력필요",AC71)))</x:formula>
    </x:cfRule>
  </x:conditionalFormatting>
  <x:conditionalFormatting sqref="AC87:AC87 AH87:AH87">
    <x:cfRule type="containsText" dxfId="1040" priority="757" operator="containsText" text="입력필요">
      <x:formula>NOT(ISERROR(SEARCH("입력필요",AC87)))</x:formula>
    </x:cfRule>
  </x:conditionalFormatting>
  <x:conditionalFormatting sqref="AC103:AC103 AH103:AH103">
    <x:cfRule type="containsText" dxfId="1039" priority="726" operator="containsText" text="입력필요">
      <x:formula>NOT(ISERROR(SEARCH("입력필요",AC103)))</x:formula>
    </x:cfRule>
  </x:conditionalFormatting>
  <x:conditionalFormatting sqref="AC119:AC119 AH119:AH119">
    <x:cfRule type="containsText" dxfId="1038" priority="695" operator="containsText" text="입력필요">
      <x:formula>NOT(ISERROR(SEARCH("입력필요",AC119)))</x:formula>
    </x:cfRule>
  </x:conditionalFormatting>
  <x:conditionalFormatting sqref="AC135:AC135 AH135:AH135">
    <x:cfRule type="containsText" dxfId="1037" priority="664" operator="containsText" text="입력필요">
      <x:formula>NOT(ISERROR(SEARCH("입력필요",AC135)))</x:formula>
    </x:cfRule>
  </x:conditionalFormatting>
  <x:conditionalFormatting sqref="AC151:AC151 AH151:AH151">
    <x:cfRule type="containsText" dxfId="1036" priority="633" operator="containsText" text="입력필요">
      <x:formula>NOT(ISERROR(SEARCH("입력필요",AC151)))</x:formula>
    </x:cfRule>
  </x:conditionalFormatting>
  <x:conditionalFormatting sqref="AC167:AC167 AH167:AH167">
    <x:cfRule type="containsText" dxfId="1035" priority="602" operator="containsText" text="입력필요">
      <x:formula>NOT(ISERROR(SEARCH("입력필요",AC167)))</x:formula>
    </x:cfRule>
  </x:conditionalFormatting>
  <x:conditionalFormatting sqref="M3:M5">
    <x:cfRule type="containsText" dxfId="1034" priority="577" operator="containsText" text="금액입력">
      <x:formula>NOT(ISERROR(SEARCH("금액입력",M3)))</x:formula>
    </x:cfRule>
  </x:conditionalFormatting>
  <x:conditionalFormatting sqref="N3:N5">
    <x:cfRule type="containsText" dxfId="1033" priority="576" operator="containsText" text="금액입력">
      <x:formula>NOT(ISERROR(SEARCH("금액입력",N3)))</x:formula>
    </x:cfRule>
  </x:conditionalFormatting>
  <x:conditionalFormatting sqref="AM8:AM22 AM24:AM38 AM40:AM54 AM56:AM70 AM72:AM86 AM88:AM102 AM104:AM118 AM120:AM134 AM136:AM150 AM152:AM166 AM168:AM182">
    <x:cfRule type="expression" dxfId="1031" priority="2276">
      <x:formula>FIND("(지방채)",$L8)&gt;0</x:formula>
    </x:cfRule>
    <x:cfRule type="expression" dxfId="1032" priority="2275">
      <x:formula>FIND("(지역개발기금)",$L8)&gt;0</x:formula>
    </x:cfRule>
  </x:conditionalFormatting>
  <x:conditionalFormatting sqref="M7:N7">
    <x:cfRule type="containsText" dxfId="1030" priority="332" operator="containsText" text="금액입력">
      <x:formula>NOT(ISERROR(SEARCH("금액입력",M7)))</x:formula>
    </x:cfRule>
  </x:conditionalFormatting>
  <x:conditionalFormatting sqref="M23:N23">
    <x:cfRule type="containsText" dxfId="1029" priority="331" operator="containsText" text="금액입력">
      <x:formula>NOT(ISERROR(SEARCH("금액입력",M23)))</x:formula>
    </x:cfRule>
  </x:conditionalFormatting>
  <x:conditionalFormatting sqref="M39:N39">
    <x:cfRule type="containsText" dxfId="1028" priority="330" operator="containsText" text="금액입력">
      <x:formula>NOT(ISERROR(SEARCH("금액입력",M39)))</x:formula>
    </x:cfRule>
  </x:conditionalFormatting>
  <x:conditionalFormatting sqref="M55:N55">
    <x:cfRule type="containsText" dxfId="1027" priority="329" operator="containsText" text="금액입력">
      <x:formula>NOT(ISERROR(SEARCH("금액입력",M55)))</x:formula>
    </x:cfRule>
  </x:conditionalFormatting>
  <x:conditionalFormatting sqref="M71:N71">
    <x:cfRule type="containsText" dxfId="1026" priority="328" operator="containsText" text="금액입력">
      <x:formula>NOT(ISERROR(SEARCH("금액입력",M71)))</x:formula>
    </x:cfRule>
  </x:conditionalFormatting>
  <x:conditionalFormatting sqref="M87:N87">
    <x:cfRule type="containsText" dxfId="1025" priority="327" operator="containsText" text="금액입력">
      <x:formula>NOT(ISERROR(SEARCH("금액입력",M87)))</x:formula>
    </x:cfRule>
  </x:conditionalFormatting>
  <x:conditionalFormatting sqref="M103:N103">
    <x:cfRule type="containsText" dxfId="1024" priority="326" operator="containsText" text="금액입력">
      <x:formula>NOT(ISERROR(SEARCH("금액입력",M103)))</x:formula>
    </x:cfRule>
  </x:conditionalFormatting>
  <x:conditionalFormatting sqref="M119:N119">
    <x:cfRule type="containsText" dxfId="1023" priority="325" operator="containsText" text="금액입력">
      <x:formula>NOT(ISERROR(SEARCH("금액입력",M119)))</x:formula>
    </x:cfRule>
  </x:conditionalFormatting>
  <x:conditionalFormatting sqref="M135:N135">
    <x:cfRule type="containsText" dxfId="1022" priority="324" operator="containsText" text="금액입력">
      <x:formula>NOT(ISERROR(SEARCH("금액입력",M135)))</x:formula>
    </x:cfRule>
  </x:conditionalFormatting>
  <x:conditionalFormatting sqref="M151:N151">
    <x:cfRule type="containsText" dxfId="1021" priority="323" operator="containsText" text="금액입력">
      <x:formula>NOT(ISERROR(SEARCH("금액입력",M151)))</x:formula>
    </x:cfRule>
  </x:conditionalFormatting>
  <x:conditionalFormatting sqref="M167:N167">
    <x:cfRule type="containsText" dxfId="1020" priority="322" operator="containsText" text="금액입력">
      <x:formula>NOT(ISERROR(SEARCH("금액입력",M167)))</x:formula>
    </x:cfRule>
  </x:conditionalFormatting>
  <x:conditionalFormatting sqref="B8:C22">
    <x:cfRule type="containsText" dxfId="1019" priority="287" operator="containsText" text="직접입력">
      <x:formula>NOT(ISERROR(SEARCH("직접입력",B8)))</x:formula>
    </x:cfRule>
  </x:conditionalFormatting>
  <x:conditionalFormatting sqref="C24:C38">
    <x:cfRule type="containsText" dxfId="1018" priority="284" operator="containsText" text="직접입력">
      <x:formula>NOT(ISERROR(SEARCH("직접입력",C24)))</x:formula>
    </x:cfRule>
  </x:conditionalFormatting>
  <x:conditionalFormatting sqref="B24:B38">
    <x:cfRule type="containsText" dxfId="1017" priority="283" operator="containsText" text="직접입력">
      <x:formula>NOT(ISERROR(SEARCH("직접입력",B24)))</x:formula>
    </x:cfRule>
  </x:conditionalFormatting>
  <x:conditionalFormatting sqref="C40:C54">
    <x:cfRule type="containsText" dxfId="1016" priority="280" operator="containsText" text="직접입력">
      <x:formula>NOT(ISERROR(SEARCH("직접입력",C40)))</x:formula>
    </x:cfRule>
  </x:conditionalFormatting>
  <x:conditionalFormatting sqref="B40:B54">
    <x:cfRule type="containsText" dxfId="1015" priority="279" operator="containsText" text="직접입력">
      <x:formula>NOT(ISERROR(SEARCH("직접입력",B40)))</x:formula>
    </x:cfRule>
  </x:conditionalFormatting>
  <x:conditionalFormatting sqref="C56:C70">
    <x:cfRule type="containsText" dxfId="1014" priority="276" operator="containsText" text="직접입력">
      <x:formula>NOT(ISERROR(SEARCH("직접입력",C56)))</x:formula>
    </x:cfRule>
  </x:conditionalFormatting>
  <x:conditionalFormatting sqref="B56:B70">
    <x:cfRule type="containsText" dxfId="1013" priority="275" operator="containsText" text="직접입력">
      <x:formula>NOT(ISERROR(SEARCH("직접입력",B56)))</x:formula>
    </x:cfRule>
  </x:conditionalFormatting>
  <x:conditionalFormatting sqref="C72:C86">
    <x:cfRule type="containsText" dxfId="1012" priority="272" operator="containsText" text="직접입력">
      <x:formula>NOT(ISERROR(SEARCH("직접입력",C72)))</x:formula>
    </x:cfRule>
  </x:conditionalFormatting>
  <x:conditionalFormatting sqref="B72:B86">
    <x:cfRule type="containsText" dxfId="1011" priority="271" operator="containsText" text="직접입력">
      <x:formula>NOT(ISERROR(SEARCH("직접입력",B72)))</x:formula>
    </x:cfRule>
  </x:conditionalFormatting>
  <x:conditionalFormatting sqref="C88:C102">
    <x:cfRule type="containsText" dxfId="1010" priority="268" operator="containsText" text="직접입력">
      <x:formula>NOT(ISERROR(SEARCH("직접입력",C88)))</x:formula>
    </x:cfRule>
  </x:conditionalFormatting>
  <x:conditionalFormatting sqref="B88:B102">
    <x:cfRule type="containsText" dxfId="1009" priority="267" operator="containsText" text="직접입력">
      <x:formula>NOT(ISERROR(SEARCH("직접입력",B88)))</x:formula>
    </x:cfRule>
  </x:conditionalFormatting>
  <x:conditionalFormatting sqref="C104:C118">
    <x:cfRule type="containsText" dxfId="1008" priority="265" operator="containsText" text="직접입력">
      <x:formula>NOT(ISERROR(SEARCH("직접입력",C104)))</x:formula>
    </x:cfRule>
  </x:conditionalFormatting>
  <x:conditionalFormatting sqref="C104:C118">
    <x:cfRule type="containsText" dxfId="1007" priority="264" operator="containsText" text="직접입력">
      <x:formula>NOT(ISERROR(SEARCH("직접입력",C104)))</x:formula>
    </x:cfRule>
  </x:conditionalFormatting>
  <x:conditionalFormatting sqref="B104:B118">
    <x:cfRule type="containsText" dxfId="1006" priority="263" operator="containsText" text="직접입력">
      <x:formula>NOT(ISERROR(SEARCH("직접입력",B104)))</x:formula>
    </x:cfRule>
  </x:conditionalFormatting>
  <x:conditionalFormatting sqref="C120:C134">
    <x:cfRule type="containsText" dxfId="1005" priority="261" operator="containsText" text="직접입력">
      <x:formula>NOT(ISERROR(SEARCH("직접입력",C120)))</x:formula>
    </x:cfRule>
  </x:conditionalFormatting>
  <x:conditionalFormatting sqref="C120:C134">
    <x:cfRule type="containsText" dxfId="1004" priority="260" operator="containsText" text="직접입력">
      <x:formula>NOT(ISERROR(SEARCH("직접입력",C120)))</x:formula>
    </x:cfRule>
  </x:conditionalFormatting>
  <x:conditionalFormatting sqref="B120:B134">
    <x:cfRule type="containsText" dxfId="1003" priority="259" operator="containsText" text="직접입력">
      <x:formula>NOT(ISERROR(SEARCH("직접입력",B120)))</x:formula>
    </x:cfRule>
  </x:conditionalFormatting>
  <x:conditionalFormatting sqref="C136:C150">
    <x:cfRule type="containsText" dxfId="1002" priority="257" operator="containsText" text="직접입력">
      <x:formula>NOT(ISERROR(SEARCH("직접입력",C136)))</x:formula>
    </x:cfRule>
  </x:conditionalFormatting>
  <x:conditionalFormatting sqref="C136:C150">
    <x:cfRule type="containsText" dxfId="1001" priority="256" operator="containsText" text="직접입력">
      <x:formula>NOT(ISERROR(SEARCH("직접입력",C136)))</x:formula>
    </x:cfRule>
  </x:conditionalFormatting>
  <x:conditionalFormatting sqref="B136:B150">
    <x:cfRule type="containsText" dxfId="1000" priority="255" operator="containsText" text="직접입력">
      <x:formula>NOT(ISERROR(SEARCH("직접입력",B136)))</x:formula>
    </x:cfRule>
  </x:conditionalFormatting>
  <x:conditionalFormatting sqref="C152:C166">
    <x:cfRule type="containsText" dxfId="999" priority="253" operator="containsText" text="직접입력">
      <x:formula>NOT(ISERROR(SEARCH("직접입력",C152)))</x:formula>
    </x:cfRule>
  </x:conditionalFormatting>
  <x:conditionalFormatting sqref="C152:C166">
    <x:cfRule type="containsText" dxfId="998" priority="252" operator="containsText" text="직접입력">
      <x:formula>NOT(ISERROR(SEARCH("직접입력",C152)))</x:formula>
    </x:cfRule>
  </x:conditionalFormatting>
  <x:conditionalFormatting sqref="B152:B166">
    <x:cfRule type="containsText" dxfId="997" priority="251" operator="containsText" text="직접입력">
      <x:formula>NOT(ISERROR(SEARCH("직접입력",B152)))</x:formula>
    </x:cfRule>
  </x:conditionalFormatting>
  <x:conditionalFormatting sqref="B168:B182">
    <x:cfRule type="containsText" dxfId="996" priority="247" operator="containsText" text="직접입력">
      <x:formula>NOT(ISERROR(SEARCH("직접입력",B168)))</x:formula>
    </x:cfRule>
  </x:conditionalFormatting>
  <x:conditionalFormatting sqref="C168:C182">
    <x:cfRule type="containsText" dxfId="995" priority="249" operator="containsText" text="직접입력">
      <x:formula>NOT(ISERROR(SEARCH("직접입력",C168)))</x:formula>
    </x:cfRule>
  </x:conditionalFormatting>
  <x:conditionalFormatting sqref="C168:C182">
    <x:cfRule type="containsText" dxfId="994" priority="248" operator="containsText" text="직접입력">
      <x:formula>NOT(ISERROR(SEARCH("직접입력",C168)))</x:formula>
    </x:cfRule>
  </x:conditionalFormatting>
  <x:conditionalFormatting sqref="F8:G22">
    <x:cfRule type="containsText" dxfId="993" priority="213" operator="containsText" text="직접입력">
      <x:formula>NOT(ISERROR(SEARCH("직접입력",F8)))</x:formula>
    </x:cfRule>
  </x:conditionalFormatting>
  <x:conditionalFormatting sqref="M8:M22">
    <x:cfRule type="containsText" dxfId="992" priority="170" operator="containsText" text="부기명 입력">
      <x:formula>NOT(ISERROR(SEARCH("부기명 입력",M8)))</x:formula>
    </x:cfRule>
  </x:conditionalFormatting>
  <x:conditionalFormatting sqref="M8:M22">
    <x:cfRule type="containsText" dxfId="991" priority="169" operator="containsText" text="금액입력">
      <x:formula>NOT(ISERROR(SEARCH("금액입력",M8)))</x:formula>
    </x:cfRule>
  </x:conditionalFormatting>
  <x:conditionalFormatting sqref="N8:N22">
    <x:cfRule type="containsText" dxfId="990" priority="168" operator="containsText" text="금액입력">
      <x:formula>NOT(ISERROR(SEARCH("금액입력",N8)))</x:formula>
    </x:cfRule>
  </x:conditionalFormatting>
  <x:conditionalFormatting sqref="F24:G38">
    <x:cfRule type="containsText" dxfId="989" priority="40" operator="containsText" text="직접입력">
      <x:formula>NOT(ISERROR(SEARCH("직접입력",F24)))</x:formula>
    </x:cfRule>
  </x:conditionalFormatting>
  <x:conditionalFormatting sqref="F40:G54">
    <x:cfRule type="containsText" dxfId="988" priority="39" operator="containsText" text="직접입력">
      <x:formula>NOT(ISERROR(SEARCH("직접입력",F40)))</x:formula>
    </x:cfRule>
  </x:conditionalFormatting>
  <x:conditionalFormatting sqref="F56:G70">
    <x:cfRule type="containsText" dxfId="987" priority="38" operator="containsText" text="직접입력">
      <x:formula>NOT(ISERROR(SEARCH("직접입력",F56)))</x:formula>
    </x:cfRule>
  </x:conditionalFormatting>
  <x:conditionalFormatting sqref="F72:G86">
    <x:cfRule type="containsText" dxfId="986" priority="37" operator="containsText" text="직접입력">
      <x:formula>NOT(ISERROR(SEARCH("직접입력",F72)))</x:formula>
    </x:cfRule>
  </x:conditionalFormatting>
  <x:conditionalFormatting sqref="F88:G102">
    <x:cfRule type="containsText" dxfId="985" priority="36" operator="containsText" text="직접입력">
      <x:formula>NOT(ISERROR(SEARCH("직접입력",F88)))</x:formula>
    </x:cfRule>
  </x:conditionalFormatting>
  <x:conditionalFormatting sqref="F104:G118">
    <x:cfRule type="containsText" dxfId="984" priority="35" operator="containsText" text="직접입력">
      <x:formula>NOT(ISERROR(SEARCH("직접입력",F104)))</x:formula>
    </x:cfRule>
  </x:conditionalFormatting>
  <x:conditionalFormatting sqref="F120:G134">
    <x:cfRule type="containsText" dxfId="983" priority="34" operator="containsText" text="직접입력">
      <x:formula>NOT(ISERROR(SEARCH("직접입력",F120)))</x:formula>
    </x:cfRule>
  </x:conditionalFormatting>
  <x:conditionalFormatting sqref="F136:G150">
    <x:cfRule type="containsText" dxfId="982" priority="33" operator="containsText" text="직접입력">
      <x:formula>NOT(ISERROR(SEARCH("직접입력",F136)))</x:formula>
    </x:cfRule>
  </x:conditionalFormatting>
  <x:conditionalFormatting sqref="F152:G166">
    <x:cfRule type="containsText" dxfId="981" priority="32" operator="containsText" text="직접입력">
      <x:formula>NOT(ISERROR(SEARCH("직접입력",F152)))</x:formula>
    </x:cfRule>
  </x:conditionalFormatting>
  <x:conditionalFormatting sqref="F168:G182">
    <x:cfRule type="containsText" dxfId="980" priority="31" operator="containsText" text="직접입력">
      <x:formula>NOT(ISERROR(SEARCH("직접입력",F168)))</x:formula>
    </x:cfRule>
  </x:conditionalFormatting>
  <x:conditionalFormatting sqref="M24:M38">
    <x:cfRule type="containsText" dxfId="979" priority="30" operator="containsText" text="부기명 입력">
      <x:formula>NOT(ISERROR(SEARCH("부기명 입력",M24)))</x:formula>
    </x:cfRule>
  </x:conditionalFormatting>
  <x:conditionalFormatting sqref="M24:M38">
    <x:cfRule type="containsText" dxfId="978" priority="29" operator="containsText" text="금액입력">
      <x:formula>NOT(ISERROR(SEARCH("금액입력",M24)))</x:formula>
    </x:cfRule>
  </x:conditionalFormatting>
  <x:conditionalFormatting sqref="N24:N38">
    <x:cfRule type="containsText" dxfId="977" priority="28" operator="containsText" text="금액입력">
      <x:formula>NOT(ISERROR(SEARCH("금액입력",N24)))</x:formula>
    </x:cfRule>
  </x:conditionalFormatting>
  <x:conditionalFormatting sqref="M40:M54">
    <x:cfRule type="containsText" dxfId="976" priority="27" operator="containsText" text="부기명 입력">
      <x:formula>NOT(ISERROR(SEARCH("부기명 입력",M40)))</x:formula>
    </x:cfRule>
  </x:conditionalFormatting>
  <x:conditionalFormatting sqref="M40:M54">
    <x:cfRule type="containsText" dxfId="975" priority="26" operator="containsText" text="금액입력">
      <x:formula>NOT(ISERROR(SEARCH("금액입력",M40)))</x:formula>
    </x:cfRule>
  </x:conditionalFormatting>
  <x:conditionalFormatting sqref="N40:N54">
    <x:cfRule type="containsText" dxfId="974" priority="25" operator="containsText" text="금액입력">
      <x:formula>NOT(ISERROR(SEARCH("금액입력",N40)))</x:formula>
    </x:cfRule>
  </x:conditionalFormatting>
  <x:conditionalFormatting sqref="M56:M70">
    <x:cfRule type="containsText" dxfId="973" priority="24" operator="containsText" text="부기명 입력">
      <x:formula>NOT(ISERROR(SEARCH("부기명 입력",M56)))</x:formula>
    </x:cfRule>
  </x:conditionalFormatting>
  <x:conditionalFormatting sqref="M56:M70">
    <x:cfRule type="containsText" dxfId="972" priority="23" operator="containsText" text="금액입력">
      <x:formula>NOT(ISERROR(SEARCH("금액입력",M56)))</x:formula>
    </x:cfRule>
  </x:conditionalFormatting>
  <x:conditionalFormatting sqref="N56:N70">
    <x:cfRule type="containsText" dxfId="971" priority="22" operator="containsText" text="금액입력">
      <x:formula>NOT(ISERROR(SEARCH("금액입력",N56)))</x:formula>
    </x:cfRule>
  </x:conditionalFormatting>
  <x:conditionalFormatting sqref="M72:M86">
    <x:cfRule type="containsText" dxfId="970" priority="21" operator="containsText" text="부기명 입력">
      <x:formula>NOT(ISERROR(SEARCH("부기명 입력",M72)))</x:formula>
    </x:cfRule>
  </x:conditionalFormatting>
  <x:conditionalFormatting sqref="M72:M86">
    <x:cfRule type="containsText" dxfId="969" priority="20" operator="containsText" text="금액입력">
      <x:formula>NOT(ISERROR(SEARCH("금액입력",M72)))</x:formula>
    </x:cfRule>
  </x:conditionalFormatting>
  <x:conditionalFormatting sqref="N72:N86">
    <x:cfRule type="containsText" dxfId="968" priority="19" operator="containsText" text="금액입력">
      <x:formula>NOT(ISERROR(SEARCH("금액입력",N72)))</x:formula>
    </x:cfRule>
  </x:conditionalFormatting>
  <x:conditionalFormatting sqref="M88:M102">
    <x:cfRule type="containsText" dxfId="967" priority="18" operator="containsText" text="부기명 입력">
      <x:formula>NOT(ISERROR(SEARCH("부기명 입력",M88)))</x:formula>
    </x:cfRule>
  </x:conditionalFormatting>
  <x:conditionalFormatting sqref="M88:M102">
    <x:cfRule type="containsText" dxfId="966" priority="17" operator="containsText" text="금액입력">
      <x:formula>NOT(ISERROR(SEARCH("금액입력",M88)))</x:formula>
    </x:cfRule>
  </x:conditionalFormatting>
  <x:conditionalFormatting sqref="N88:N102">
    <x:cfRule type="containsText" dxfId="965" priority="16" operator="containsText" text="금액입력">
      <x:formula>NOT(ISERROR(SEARCH("금액입력",N88)))</x:formula>
    </x:cfRule>
  </x:conditionalFormatting>
  <x:conditionalFormatting sqref="M104:M118">
    <x:cfRule type="containsText" dxfId="964" priority="15" operator="containsText" text="부기명 입력">
      <x:formula>NOT(ISERROR(SEARCH("부기명 입력",M104)))</x:formula>
    </x:cfRule>
  </x:conditionalFormatting>
  <x:conditionalFormatting sqref="M104:M118">
    <x:cfRule type="containsText" dxfId="963" priority="14" operator="containsText" text="금액입력">
      <x:formula>NOT(ISERROR(SEARCH("금액입력",M104)))</x:formula>
    </x:cfRule>
  </x:conditionalFormatting>
  <x:conditionalFormatting sqref="N104:N118">
    <x:cfRule type="containsText" dxfId="962" priority="13" operator="containsText" text="금액입력">
      <x:formula>NOT(ISERROR(SEARCH("금액입력",N104)))</x:formula>
    </x:cfRule>
  </x:conditionalFormatting>
  <x:conditionalFormatting sqref="M120:M134">
    <x:cfRule type="containsText" dxfId="961" priority="12" operator="containsText" text="부기명 입력">
      <x:formula>NOT(ISERROR(SEARCH("부기명 입력",M120)))</x:formula>
    </x:cfRule>
  </x:conditionalFormatting>
  <x:conditionalFormatting sqref="M120:M134">
    <x:cfRule type="containsText" dxfId="960" priority="11" operator="containsText" text="금액입력">
      <x:formula>NOT(ISERROR(SEARCH("금액입력",M120)))</x:formula>
    </x:cfRule>
  </x:conditionalFormatting>
  <x:conditionalFormatting sqref="N120:N134">
    <x:cfRule type="containsText" dxfId="959" priority="10" operator="containsText" text="금액입력">
      <x:formula>NOT(ISERROR(SEARCH("금액입력",N120)))</x:formula>
    </x:cfRule>
  </x:conditionalFormatting>
  <x:conditionalFormatting sqref="M136:M150">
    <x:cfRule type="containsText" dxfId="958" priority="9" operator="containsText" text="부기명 입력">
      <x:formula>NOT(ISERROR(SEARCH("부기명 입력",M136)))</x:formula>
    </x:cfRule>
  </x:conditionalFormatting>
  <x:conditionalFormatting sqref="M136:M150">
    <x:cfRule type="containsText" dxfId="957" priority="8" operator="containsText" text="금액입력">
      <x:formula>NOT(ISERROR(SEARCH("금액입력",M136)))</x:formula>
    </x:cfRule>
  </x:conditionalFormatting>
  <x:conditionalFormatting sqref="N136:N150">
    <x:cfRule type="containsText" dxfId="956" priority="7" operator="containsText" text="금액입력">
      <x:formula>NOT(ISERROR(SEARCH("금액입력",N136)))</x:formula>
    </x:cfRule>
  </x:conditionalFormatting>
  <x:conditionalFormatting sqref="M152:M166">
    <x:cfRule type="containsText" dxfId="955" priority="6" operator="containsText" text="부기명 입력">
      <x:formula>NOT(ISERROR(SEARCH("부기명 입력",M152)))</x:formula>
    </x:cfRule>
  </x:conditionalFormatting>
  <x:conditionalFormatting sqref="M152:M166">
    <x:cfRule type="containsText" dxfId="954" priority="5" operator="containsText" text="금액입력">
      <x:formula>NOT(ISERROR(SEARCH("금액입력",M152)))</x:formula>
    </x:cfRule>
  </x:conditionalFormatting>
  <x:conditionalFormatting sqref="N152:N166">
    <x:cfRule type="containsText" dxfId="953" priority="4" operator="containsText" text="금액입력">
      <x:formula>NOT(ISERROR(SEARCH("금액입력",N152)))</x:formula>
    </x:cfRule>
  </x:conditionalFormatting>
  <x:conditionalFormatting sqref="M168:M182">
    <x:cfRule type="containsText" dxfId="952" priority="3" operator="containsText" text="부기명 입력">
      <x:formula>NOT(ISERROR(SEARCH("부기명 입력",M168)))</x:formula>
    </x:cfRule>
  </x:conditionalFormatting>
  <x:conditionalFormatting sqref="M168:M182">
    <x:cfRule type="containsText" dxfId="951" priority="2" operator="containsText" text="금액입력">
      <x:formula>NOT(ISERROR(SEARCH("금액입력",M168)))</x:formula>
    </x:cfRule>
  </x:conditionalFormatting>
  <x:conditionalFormatting sqref="N168:N182">
    <x:cfRule type="containsText" dxfId="950" priority="1" operator="containsText" text="금액입력">
      <x:formula>NOT(ISERROR(SEARCH("금액입력",N168)))</x:formula>
    </x:cfRule>
  </x:conditionalFormatting>
  <x:dataValidations count="36">
    <x:dataValidation type="list" allowBlank="1" showInputMessage="1" showErrorMessage="1" sqref="E6:E6">
      <x:formula1>"본예산, 신규"</x:formula1>
    </x:dataValidation>
    <x:dataValidation type="list" allowBlank="1" showInputMessage="1" showErrorMessage="1" sqref="W72:W86 W120:W134 W136:W150 W56:W70 W8:W22 W40:W54 W104:W118 W24:W38 W88:W102 W152:W166 W168:W182">
      <x:formula1>"동의, 부동의, 미실시"</x:formula1>
    </x:dataValidation>
    <x:dataValidation type="custom" allowBlank="1" showInputMessage="1" showErrorMessage="1" sqref="B8:B22">
      <x:formula1>"의회운영위원회"</x:formula1>
    </x:dataValidation>
    <x:dataValidation type="custom" allowBlank="1" showInputMessage="1" showErrorMessage="1" sqref="B24:B38">
      <x:formula1>"기획재정위원회"</x:formula1>
    </x:dataValidation>
    <x:dataValidation type="custom" allowBlank="1" showInputMessage="1" showErrorMessage="1" sqref="B40:B54">
      <x:formula1>"경제노동위원회"</x:formula1>
    </x:dataValidation>
    <x:dataValidation type="custom" allowBlank="1" showInputMessage="1" showErrorMessage="1" sqref="B56:B70">
      <x:formula1>"안전행정위원회"</x:formula1>
    </x:dataValidation>
    <x:dataValidation type="custom" allowBlank="1" showInputMessage="1" showErrorMessage="1" sqref="B72:B86">
      <x:formula1>"문화체육관광위원회"</x:formula1>
    </x:dataValidation>
    <x:dataValidation type="custom" allowBlank="1" showInputMessage="1" showErrorMessage="1" sqref="B88:B102">
      <x:formula1>"농정해양위원회"</x:formula1>
    </x:dataValidation>
    <x:dataValidation type="list" allowBlank="1" showInputMessage="1" showErrorMessage="1" sqref="B104:B118">
      <x:formula1>"보건복지위원회"</x:formula1>
    </x:dataValidation>
    <x:dataValidation type="custom" allowBlank="1" showInputMessage="1" showErrorMessage="1" sqref="B120:B134">
      <x:formula1>"건설교통위원회"</x:formula1>
    </x:dataValidation>
    <x:dataValidation type="list" allowBlank="1" showInputMessage="1" showErrorMessage="1" sqref="B136:B150">
      <x:formula1>"도시환경위원회"</x:formula1>
    </x:dataValidation>
    <x:dataValidation type="custom" allowBlank="1" showInputMessage="1" showErrorMessage="1" sqref="B152:B166">
      <x:formula1>"미래과학협력위원회"</x:formula1>
    </x:dataValidation>
    <x:dataValidation type="custom" allowBlank="1" showInputMessage="1" showErrorMessage="1" sqref="B168:B182">
      <x:formula1>"여성가족평생교육위원회"</x:formula1>
    </x:dataValidation>
    <x:dataValidation type="list" allowBlank="1" showInputMessage="1" showErrorMessage="1" sqref="E152:E166 E8:E22 E24:E38 E40:E54 E56:E70 E72:E86 E88:E102 E104:E118 E120:E134 E136:E150 E168:E182">
      <x:formula1>"본예산, 1추,  2추, 신규"</x:formula1>
    </x:dataValidation>
    <x:dataValidation type="list" allowBlank="1" showInputMessage="1" showErrorMessage="1" sqref="D8:D22">
      <x:formula1>구분표!$R$3:$R$17</x:formula1>
    </x:dataValidation>
    <x:dataValidation type="list" allowBlank="1" showInputMessage="1" showErrorMessage="1" sqref="C8:C22">
      <x:formula1>구분표!$AD$3:$AD$6</x:formula1>
    </x:dataValidation>
    <x:dataValidation type="list" allowBlank="1" showInputMessage="1" showErrorMessage="1" sqref="C24:C38">
      <x:formula1>구분표!$AE$3:$AE$7</x:formula1>
    </x:dataValidation>
    <x:dataValidation type="list" allowBlank="1" showInputMessage="1" showErrorMessage="1" sqref="D24:D38">
      <x:formula1>구분표!$S$3:$S$23</x:formula1>
    </x:dataValidation>
    <x:dataValidation type="list" allowBlank="1" showInputMessage="1" showErrorMessage="1" sqref="C40:C54">
      <x:formula1>구분표!$AF$3:$AF$6</x:formula1>
    </x:dataValidation>
    <x:dataValidation type="list" allowBlank="1" showInputMessage="1" showErrorMessage="1" sqref="D40:D54">
      <x:formula1>구분표!$T$3:$T$19</x:formula1>
    </x:dataValidation>
    <x:dataValidation type="list" allowBlank="1" showInputMessage="1" showErrorMessage="1" sqref="C56:C70">
      <x:formula1>구분표!$AG$3:$AG$11</x:formula1>
    </x:dataValidation>
    <x:dataValidation type="list" allowBlank="1" showInputMessage="1" showErrorMessage="1" sqref="D56:D70">
      <x:formula1>구분표!$U$3:$U$81</x:formula1>
    </x:dataValidation>
    <x:dataValidation type="list" allowBlank="1" showInputMessage="1" showErrorMessage="1" sqref="C72:C86">
      <x:formula1>구분표!$AH$3</x:formula1>
    </x:dataValidation>
    <x:dataValidation type="list" allowBlank="1" showInputMessage="1" showErrorMessage="1" sqref="D72:D86">
      <x:formula1>구분표!$V$3:$V$11</x:formula1>
    </x:dataValidation>
    <x:dataValidation type="list" allowBlank="1" showInputMessage="1" showErrorMessage="1" sqref="C88:C102">
      <x:formula1>구분표!$AI$3:$AI$6</x:formula1>
    </x:dataValidation>
    <x:dataValidation type="list" allowBlank="1" showInputMessage="1" showErrorMessage="1" sqref="D88:D102">
      <x:formula1>구분표!$W$3:$W$28</x:formula1>
    </x:dataValidation>
    <x:dataValidation type="list" allowBlank="1" showInputMessage="1" showErrorMessage="1" sqref="C104:C118">
      <x:formula1>구분표!$AJ$3:$AJ$5</x:formula1>
    </x:dataValidation>
    <x:dataValidation type="list" allowBlank="1" showInputMessage="1" showErrorMessage="1" sqref="D104:D118">
      <x:formula1>구분표!$X$3:$X$19</x:formula1>
    </x:dataValidation>
    <x:dataValidation type="list" allowBlank="1" showInputMessage="1" showErrorMessage="1" sqref="C120:C134">
      <x:formula1>구분표!$AK$3:$AK$7</x:formula1>
    </x:dataValidation>
    <x:dataValidation type="list" allowBlank="1" showInputMessage="1" showErrorMessage="1" sqref="D120:D134">
      <x:formula1>구분표!$Y$3:$Y$21</x:formula1>
    </x:dataValidation>
    <x:dataValidation type="list" allowBlank="1" showInputMessage="1" showErrorMessage="1" sqref="C136:C150">
      <x:formula1>구분표!$AL$3:$AL$8</x:formula1>
    </x:dataValidation>
    <x:dataValidation type="list" allowBlank="1" showInputMessage="1" showErrorMessage="1" sqref="D136:D150">
      <x:formula1>구분표!$Z$3:$Z$30</x:formula1>
    </x:dataValidation>
    <x:dataValidation type="list" allowBlank="1" showInputMessage="1" showErrorMessage="1" sqref="C152:C166">
      <x:formula1>구분표!$AM$3:$AM$5</x:formula1>
    </x:dataValidation>
    <x:dataValidation type="list" allowBlank="1" showInputMessage="1" showErrorMessage="1" sqref="D152:D166">
      <x:formula1>구분표!$AA$3:$AA$14</x:formula1>
    </x:dataValidation>
    <x:dataValidation type="list" allowBlank="1" showInputMessage="1" showErrorMessage="1" sqref="C168:C182">
      <x:formula1>구분표!$AN$3:$AN$7</x:formula1>
    </x:dataValidation>
    <x:dataValidation type="list" allowBlank="1" showInputMessage="1" showErrorMessage="1" sqref="D168:D182">
      <x:formula1>구분표!$AB$3:$AB$14</x:formula1>
    </x:dataValidation>
  </x:dataValidation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45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  <x:legacyDrawing r:id="rId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>
    <x:tabColor rgb="ff0000ff"/>
    <x:pageSetUpPr autoPageBreaks="1" fitToPage="1"/>
  </x:sheetPr>
  <x:dimension ref="A1:AY187"/>
  <x:sheetViews>
    <x:sheetView view="pageBreakPreview" topLeftCell="A1" zoomScale="25" zoomScaleNormal="40" zoomScaleSheetLayoutView="25" workbookViewId="0">
      <x:pane xSplit="0" ySplit="6" topLeftCell="A130" activePane="bottomLeft" state="frozen"/>
      <x:selection pane="bottomLeft" activeCell="A137" activeCellId="0" sqref="A137:A137"/>
    </x:sheetView>
  </x:sheetViews>
  <x:sheetFormatPr defaultColWidth="9" defaultRowHeight="50.100000000000001" customHeight="1"/>
  <x:cols>
    <x:col min="1" max="1" width="9.875" style="23" customWidth="1"/>
    <x:col min="2" max="2" width="20.5" style="49" customWidth="1"/>
    <x:col min="3" max="3" width="20" style="49" customWidth="1"/>
    <x:col min="4" max="4" width="27.125" style="49" customWidth="1"/>
    <x:col min="5" max="5" width="9.625" style="49" customWidth="1"/>
    <x:col min="6" max="7" width="15.625" style="21" customWidth="1"/>
    <x:col min="8" max="10" width="15.375" style="21" customWidth="1"/>
    <x:col min="11" max="12" width="40.625" style="451" customWidth="1"/>
    <x:col min="13" max="14" width="25.625" style="451" customWidth="1"/>
    <x:col min="15" max="18" width="25.625" style="454" customWidth="1"/>
    <x:col min="19" max="19" width="25.625" style="478" customWidth="1"/>
    <x:col min="20" max="20" width="13.875" style="21" customWidth="1"/>
    <x:col min="21" max="21" width="19.625" style="33" bestFit="1" customWidth="1"/>
    <x:col min="22" max="22" width="26.625" style="33" bestFit="1" customWidth="1"/>
    <x:col min="23" max="23" width="14.875" style="34" bestFit="1" customWidth="1"/>
    <x:col min="24" max="24" width="30" style="22" customWidth="1"/>
    <x:col min="25" max="26" width="16.5" style="22" customWidth="1"/>
    <x:col min="27" max="27" width="4.625" style="21" customWidth="1"/>
    <x:col min="28" max="31" width="20.625" style="454" customWidth="1"/>
    <x:col min="32" max="32" width="25.625" style="21" customWidth="1"/>
    <x:col min="33" max="33" width="3" style="21" customWidth="1"/>
    <x:col min="34" max="37" width="20.625" style="454" customWidth="1"/>
    <x:col min="38" max="38" width="25.625" style="21" customWidth="1"/>
    <x:col min="39" max="39" width="2.25" style="21" customWidth="1"/>
    <x:col min="40" max="40" width="26.25" style="36" customWidth="1"/>
    <x:col min="41" max="41" width="17.875" style="21" bestFit="1" customWidth="1"/>
    <x:col min="42" max="42" width="9" style="44" customWidth="1"/>
    <x:col min="43" max="43" width="13.125" style="21" bestFit="1" customWidth="1"/>
    <x:col min="44" max="44" width="2.625" style="21" customWidth="1"/>
    <x:col min="45" max="45" width="26.25" style="36" customWidth="1"/>
    <x:col min="46" max="46" width="17.875" style="21" customWidth="1"/>
    <x:col min="47" max="47" width="17.625" style="36" customWidth="1"/>
    <x:col min="48" max="48" width="14.875" style="21" bestFit="1" customWidth="1"/>
    <x:col min="49" max="49" width="2.625" style="21" customWidth="1"/>
    <x:col min="50" max="50" width="9.875" style="21" bestFit="1" customWidth="1"/>
    <x:col min="51" max="51" width="5.375" style="21" customWidth="1"/>
    <x:col min="52" max="16384" width="9" style="21"/>
  </x:cols>
  <x:sheetData>
    <x:row r="1" spans="1:48" ht="95.25" customHeight="1">
      <x:c r="A1" s="914" t="s">
        <x:v>1928</x:v>
      </x:c>
      <x:c r="B1" s="914"/>
      <x:c r="C1" s="914"/>
      <x:c r="D1" s="914"/>
      <x:c r="E1" s="914"/>
      <x:c r="F1" s="914"/>
      <x:c r="G1" s="914"/>
      <x:c r="H1" s="914"/>
      <x:c r="I1" s="914"/>
      <x:c r="J1" s="914"/>
      <x:c r="K1" s="914"/>
      <x:c r="L1" s="914"/>
      <x:c r="M1" s="914"/>
      <x:c r="N1" s="914"/>
      <x:c r="O1" s="914"/>
      <x:c r="P1" s="914"/>
      <x:c r="Q1" s="914"/>
      <x:c r="R1" s="914"/>
      <x:c r="S1" s="914"/>
      <x:c r="T1" s="914"/>
      <x:c r="U1" s="914"/>
      <x:c r="V1" s="914"/>
      <x:c r="W1" s="914"/>
      <x:c r="X1" s="914"/>
      <x:c r="Y1" s="914"/>
      <x:c r="Z1" s="914"/>
      <x:c r="AB1" s="1002" t="s">
        <x:v>416</x:v>
      </x:c>
      <x:c r="AC1" s="1003"/>
      <x:c r="AD1" s="1003"/>
      <x:c r="AE1" s="1004"/>
      <x:c r="AH1" s="999" t="s">
        <x:v>416</x:v>
      </x:c>
      <x:c r="AI1" s="1000"/>
      <x:c r="AJ1" s="1000"/>
      <x:c r="AK1" s="1001"/>
      <x:c r="AN1" s="905" t="s">
        <x:v>3</x:v>
      </x:c>
      <x:c r="AO1" s="906"/>
      <x:c r="AP1" s="906"/>
      <x:c r="AQ1" s="907"/>
      <x:c r="AS1" s="905" t="s">
        <x:v>4</x:v>
      </x:c>
      <x:c r="AT1" s="906"/>
      <x:c r="AU1" s="906"/>
      <x:c r="AV1" s="907"/>
    </x:row>
    <x:row r="2" spans="2:48" ht="39.75" customHeight="1">
      <x:c r="B2" s="915"/>
      <x:c r="C2" s="915"/>
      <x:c r="D2" s="915"/>
      <x:c r="E2" s="915"/>
      <x:c r="F2" s="915"/>
      <x:c r="G2" s="915"/>
      <x:c r="H2" s="915"/>
      <x:c r="I2" s="915"/>
      <x:c r="J2" s="915"/>
      <x:c r="K2" s="915"/>
      <x:c r="L2" s="915"/>
      <x:c r="M2" s="550"/>
      <x:c r="N2" s="550"/>
      <x:c r="O2" s="455"/>
      <x:c r="P2" s="473">
        <x:f>SUM(P7:P251)/2</x:f>
        <x:v>4271494</x:v>
      </x:c>
      <x:c r="Q2" s="473">
        <x:f>SUM(Q7:Q251)/2</x:f>
        <x:v>46738109</x:v>
      </x:c>
      <x:c r="R2" s="473">
        <x:f>SUM(R7:R251)/2</x:f>
        <x:v>0</x:v>
      </x:c>
      <x:c r="S2" s="473">
        <x:f>SUM(S7:S251)/2</x:f>
        <x:v>42466615</x:v>
      </x:c>
      <x:c r="T2" s="74"/>
      <x:c r="V2" s="31"/>
      <x:c r="W2" s="35" t="s">
        <x:v>1513</x:v>
      </x:c>
      <x:c r="X2" s="35"/>
      <x:c r="Y2" s="980" t="s">
        <x:v>1513</x:v>
      </x:c>
      <x:c r="Z2" s="980"/>
      <x:c r="AB2" s="492" t="str">
        <x:f>IF(AB6='3. 일입'!AA7,"OK","@@")</x:f>
        <x:v>@@</x:v>
      </x:c>
      <x:c r="AC2" s="468"/>
      <x:c r="AD2" s="468"/>
      <x:c r="AE2" s="484"/>
      <x:c r="AF2" s="384" t="s">
        <x:v>1513</x:v>
      </x:c>
      <x:c r="AH2" s="492" t="str">
        <x:f>IF(AH6='3. 일입'!AF7,"OK","@@")</x:f>
        <x:v>OK</x:v>
      </x:c>
      <x:c r="AI2" s="468"/>
      <x:c r="AJ2" s="468"/>
      <x:c r="AK2" s="468"/>
      <x:c r="AL2" s="384" t="s">
        <x:v>1513</x:v>
      </x:c>
      <x:c r="AN2" s="23"/>
      <x:c r="AO2" s="24"/>
      <x:c r="AP2" s="333"/>
      <x:c r="AQ2" s="384" t="s">
        <x:v>1513</x:v>
      </x:c>
      <x:c r="AS2" s="23"/>
      <x:c r="AT2" s="24"/>
      <x:c r="AU2" s="23"/>
      <x:c r="AV2" s="384" t="s">
        <x:v>1513</x:v>
      </x:c>
    </x:row>
    <x:row r="3" spans="1:50" s="329" customFormat="1" ht="39.950000000000003" customHeight="1">
      <x:c r="A3" s="893" t="s">
        <x:v>116</x:v>
      </x:c>
      <x:c r="B3" s="904" t="s">
        <x:v>1933</x:v>
      </x:c>
      <x:c r="C3" s="904" t="s">
        <x:v>74</x:v>
      </x:c>
      <x:c r="D3" s="904" t="s">
        <x:v>94</x:v>
      </x:c>
      <x:c r="E3" s="894" t="s">
        <x:v>1320</x:v>
      </x:c>
      <x:c r="F3" s="894" t="s">
        <x:v>1646</x:v>
      </x:c>
      <x:c r="G3" s="894" t="s">
        <x:v>1620</x:v>
      </x:c>
      <x:c r="H3" s="975" t="s">
        <x:v>1033</x:v>
      </x:c>
      <x:c r="I3" s="975" t="s">
        <x:v>115</x:v>
      </x:c>
      <x:c r="J3" s="975" t="s">
        <x:v>104</x:v>
      </x:c>
      <x:c r="K3" s="893" t="s">
        <x:v>854</x:v>
      </x:c>
      <x:c r="L3" s="893" t="s">
        <x:v>127</x:v>
      </x:c>
      <x:c r="M3" s="889" t="s">
        <x:v>1412</x:v>
      </x:c>
      <x:c r="N3" s="889" t="s">
        <x:v>1678</x:v>
      </x:c>
      <x:c r="O3" s="889" t="s">
        <x:v>443</x:v>
      </x:c>
      <x:c r="P3" s="902" t="s">
        <x:v>1661</x:v>
      </x:c>
      <x:c r="Q3" s="891" t="s">
        <x:v>1357</x:v>
      </x:c>
      <x:c r="R3" s="902" t="s">
        <x:v>1636</x:v>
      </x:c>
      <x:c r="S3" s="891" t="s">
        <x:v>1359</x:v>
      </x:c>
      <x:c r="T3" s="899" t="s">
        <x:v>1546</x:v>
      </x:c>
      <x:c r="U3" s="891" t="s">
        <x:v>1550</x:v>
      </x:c>
      <x:c r="V3" s="891" t="s">
        <x:v>1549</x:v>
      </x:c>
      <x:c r="W3" s="891" t="s">
        <x:v>1619</x:v>
      </x:c>
      <x:c r="X3" s="899" t="s">
        <x:v>1548</x:v>
      </x:c>
      <x:c r="Y3" s="899" t="s">
        <x:v>551</x:v>
      </x:c>
      <x:c r="Z3" s="902" t="s">
        <x:v>1547</x:v>
      </x:c>
      <x:c r="AB3" s="897" t="s">
        <x:v>1522</x:v>
      </x:c>
      <x:c r="AC3" s="897"/>
      <x:c r="AD3" s="897"/>
      <x:c r="AE3" s="897"/>
      <x:c r="AF3" s="897"/>
      <x:c r="AH3" s="898" t="s">
        <x:v>1517</x:v>
      </x:c>
      <x:c r="AI3" s="898"/>
      <x:c r="AJ3" s="898"/>
      <x:c r="AK3" s="898"/>
      <x:c r="AL3" s="898"/>
      <x:c r="AN3" s="1005" t="s">
        <x:v>436</x:v>
      </x:c>
      <x:c r="AO3" s="1006"/>
      <x:c r="AP3" s="1006"/>
      <x:c r="AQ3" s="1007"/>
      <x:c r="AS3" s="1008" t="s">
        <x:v>1465</x:v>
      </x:c>
      <x:c r="AT3" s="1009"/>
      <x:c r="AU3" s="1009"/>
      <x:c r="AV3" s="1010"/>
      <x:c r="AX3" s="895" t="s">
        <x:v>1326</x:v>
      </x:c>
    </x:row>
    <x:row r="4" spans="1:50" s="329" customFormat="1" ht="39.950000000000003" customHeight="1">
      <x:c r="A4" s="893"/>
      <x:c r="B4" s="904"/>
      <x:c r="C4" s="904"/>
      <x:c r="D4" s="904"/>
      <x:c r="E4" s="894"/>
      <x:c r="F4" s="894"/>
      <x:c r="G4" s="894"/>
      <x:c r="H4" s="976"/>
      <x:c r="I4" s="976"/>
      <x:c r="J4" s="976"/>
      <x:c r="K4" s="893"/>
      <x:c r="L4" s="893"/>
      <x:c r="M4" s="889"/>
      <x:c r="N4" s="889"/>
      <x:c r="O4" s="889"/>
      <x:c r="P4" s="950"/>
      <x:c r="Q4" s="891"/>
      <x:c r="R4" s="950"/>
      <x:c r="S4" s="891"/>
      <x:c r="T4" s="899"/>
      <x:c r="U4" s="891"/>
      <x:c r="V4" s="891"/>
      <x:c r="W4" s="891"/>
      <x:c r="X4" s="899"/>
      <x:c r="Y4" s="899"/>
      <x:c r="Z4" s="950"/>
      <x:c r="AB4" s="939" t="s">
        <x:v>99</x:v>
      </x:c>
      <x:c r="AC4" s="941" t="s">
        <x:v>91</x:v>
      </x:c>
      <x:c r="AD4" s="942"/>
      <x:c r="AE4" s="943"/>
      <x:c r="AF4" s="895" t="s">
        <x:v>1443</x:v>
      </x:c>
      <x:c r="AH4" s="939" t="s">
        <x:v>99</x:v>
      </x:c>
      <x:c r="AI4" s="941" t="s">
        <x:v>91</x:v>
      </x:c>
      <x:c r="AJ4" s="942"/>
      <x:c r="AK4" s="943"/>
      <x:c r="AL4" s="895" t="s">
        <x:v>1437</x:v>
      </x:c>
      <x:c r="AN4" s="955" t="s">
        <x:v>1322</x:v>
      </x:c>
      <x:c r="AO4" s="955" t="s">
        <x:v>0</x:v>
      </x:c>
      <x:c r="AP4" s="955" t="s">
        <x:v>1030</x:v>
      </x:c>
      <x:c r="AQ4" s="955" t="s">
        <x:v>1039</x:v>
      </x:c>
      <x:c r="AS4" s="955" t="s">
        <x:v>1322</x:v>
      </x:c>
      <x:c r="AT4" s="955" t="s">
        <x:v>0</x:v>
      </x:c>
      <x:c r="AU4" s="955" t="s">
        <x:v>1030</x:v>
      </x:c>
      <x:c r="AV4" s="955" t="s">
        <x:v>1039</x:v>
      </x:c>
      <x:c r="AX4" s="895"/>
    </x:row>
    <x:row r="5" spans="1:50" s="329" customFormat="1" ht="39.950000000000003" customHeight="1">
      <x:c r="A5" s="893"/>
      <x:c r="B5" s="904"/>
      <x:c r="C5" s="904"/>
      <x:c r="D5" s="904"/>
      <x:c r="E5" s="894"/>
      <x:c r="F5" s="894"/>
      <x:c r="G5" s="894"/>
      <x:c r="H5" s="977"/>
      <x:c r="I5" s="977"/>
      <x:c r="J5" s="977"/>
      <x:c r="K5" s="893"/>
      <x:c r="L5" s="893"/>
      <x:c r="M5" s="890"/>
      <x:c r="N5" s="890"/>
      <x:c r="O5" s="890"/>
      <x:c r="P5" s="903"/>
      <x:c r="Q5" s="892"/>
      <x:c r="R5" s="903"/>
      <x:c r="S5" s="892"/>
      <x:c r="T5" s="899"/>
      <x:c r="U5" s="891"/>
      <x:c r="V5" s="891"/>
      <x:c r="W5" s="891"/>
      <x:c r="X5" s="899"/>
      <x:c r="Y5" s="899"/>
      <x:c r="Z5" s="903"/>
      <x:c r="AB5" s="940"/>
      <x:c r="AC5" s="469" t="s">
        <x:v>172</x:v>
      </x:c>
      <x:c r="AD5" s="469" t="s">
        <x:v>153</x:v>
      </x:c>
      <x:c r="AE5" s="469" t="s">
        <x:v>879</x:v>
      </x:c>
      <x:c r="AF5" s="896"/>
      <x:c r="AH5" s="940"/>
      <x:c r="AI5" s="469" t="s">
        <x:v>172</x:v>
      </x:c>
      <x:c r="AJ5" s="469" t="s">
        <x:v>153</x:v>
      </x:c>
      <x:c r="AK5" s="469" t="s">
        <x:v>879</x:v>
      </x:c>
      <x:c r="AL5" s="896"/>
      <x:c r="AN5" s="956"/>
      <x:c r="AO5" s="956"/>
      <x:c r="AP5" s="956"/>
      <x:c r="AQ5" s="956"/>
      <x:c r="AS5" s="956"/>
      <x:c r="AT5" s="956"/>
      <x:c r="AU5" s="956"/>
      <x:c r="AV5" s="956"/>
      <x:c r="AX5" s="896"/>
    </x:row>
    <x:row r="6" spans="1:50" s="396" customFormat="1" ht="80.099999999999994" customHeight="1">
      <x:c r="A6" s="181"/>
      <x:c r="B6" s="181" t="s">
        <x:v>102</x:v>
      </x:c>
      <x:c r="C6" s="423" t="s">
        <x:v>100</x:v>
      </x:c>
      <x:c r="D6" s="424"/>
      <x:c r="E6" s="425"/>
      <x:c r="F6" s="425"/>
      <x:c r="G6" s="425"/>
      <x:c r="H6" s="425"/>
      <x:c r="I6" s="425"/>
      <x:c r="J6" s="425"/>
      <x:c r="K6" s="426" t="s">
        <x:v>100</x:v>
      </x:c>
      <x:c r="L6" s="380" t="str">
        <x:f>SUBTOTAL(3,L$7:L$2000)&amp;"건"</x:f>
        <x:v>3건</x:v>
      </x:c>
      <x:c r="M6" s="475">
        <x:f t="shared" ref="M6:N6" si="0">SUBTOTAL(9,M$7:M$2000)</x:f>
        <x:v>9612655</x:v>
      </x:c>
      <x:c r="N6" s="475">
        <x:f t="shared" si="0"/>
        <x:v>32853960</x:v>
      </x:c>
      <x:c r="O6" s="475">
        <x:f>SUBTOTAL(9,O$7:O$2000)</x:f>
        <x:v>42466615</x:v>
      </x:c>
      <x:c r="P6" s="475">
        <x:f>SUBTOTAL(9,P$7:P$2000)</x:f>
        <x:v>4271494</x:v>
      </x:c>
      <x:c r="Q6" s="475">
        <x:f>SUBTOTAL(9,Q$7:Q$2000)</x:f>
        <x:v>46738109</x:v>
      </x:c>
      <x:c r="R6" s="475">
        <x:f>SUBTOTAL(9,R$7:R$2000)</x:f>
        <x:v>0</x:v>
      </x:c>
      <x:c r="S6" s="475">
        <x:f>SUBTOTAL(9,S$7:S$2000)</x:f>
        <x:v>42466615</x:v>
      </x:c>
      <x:c r="T6" s="425"/>
      <x:c r="U6" s="428"/>
      <x:c r="V6" s="427"/>
      <x:c r="W6" s="181"/>
      <x:c r="X6" s="428"/>
      <x:c r="Y6" s="428"/>
      <x:c r="Z6" s="428"/>
      <x:c r="AB6" s="485">
        <x:f>SUBTOTAL(9,AB$7:AB$2000)</x:f>
        <x:v>47350</x:v>
      </x:c>
      <x:c r="AC6" s="485">
        <x:f t="shared" ref="AC6:AE6" si="1">SUBTOTAL(9,AC$7:AC$2000)</x:f>
        <x:v>4224144</x:v>
      </x:c>
      <x:c r="AD6" s="485">
        <x:f t="shared" si="1"/>
        <x:v>0</x:v>
      </x:c>
      <x:c r="AE6" s="485">
        <x:f t="shared" si="1"/>
        <x:v>0</x:v>
      </x:c>
      <x:c r="AF6" s="403" t="str">
        <x:f>IF(COUNTIF(AF$8:AF$2000,"@@")&gt;0,"@@","OK")</x:f>
        <x:v>OK</x:v>
      </x:c>
      <x:c r="AG6" s="429"/>
      <x:c r="AH6" s="485">
        <x:f t="shared" ref="AH6:AK6" si="2">SUBTOTAL(9,AH$7:AH$2000)</x:f>
        <x:v>0</x:v>
      </x:c>
      <x:c r="AI6" s="485">
        <x:f t="shared" si="2"/>
        <x:v>0</x:v>
      </x:c>
      <x:c r="AJ6" s="485">
        <x:f t="shared" si="2"/>
        <x:v>0</x:v>
      </x:c>
      <x:c r="AK6" s="485">
        <x:f t="shared" si="2"/>
        <x:v>0</x:v>
      </x:c>
      <x:c r="AL6" s="403" t="str">
        <x:f>IF(COUNTIF(AL$8:AL$2000,"@@")&gt;0,"@@","OK")</x:f>
        <x:v>OK</x:v>
      </x:c>
      <x:c r="AN6" s="415"/>
      <x:c r="AO6" s="403" t="str">
        <x:f>IF(COUNTIF(AO$8:AO$2000,"@@")&gt;0,"@@","OK")</x:f>
        <x:v>OK</x:v>
      </x:c>
      <x:c r="AP6" s="431"/>
      <x:c r="AQ6" s="403" t="str">
        <x:f>IF(COUNTIF(AQ$8:AQ$2000,"@@")&gt;0,"@@","OK")</x:f>
        <x:v>OK</x:v>
      </x:c>
      <x:c r="AS6" s="415"/>
      <x:c r="AT6" s="403" t="str">
        <x:f>IF(COUNTIF(AT$8:AT$2000,"@@")&gt;0,"@@","OK")</x:f>
        <x:v>OK</x:v>
      </x:c>
      <x:c r="AU6" s="415"/>
      <x:c r="AV6" s="403" t="str">
        <x:f>IF(COUNTIF(AV$8:AV$2000,"@@")&gt;0,"@@","OK")</x:f>
        <x:v>OK</x:v>
      </x:c>
      <x:c r="AX6" s="398"/>
    </x:row>
    <x:row r="7" spans="1:51" s="345" customFormat="1" ht="60" customHeight="1">
      <x:c r="A7" s="337"/>
      <x:c r="B7" s="981" t="s">
        <x:v>1525</x:v>
      </x:c>
      <x:c r="C7" s="981"/>
      <x:c r="D7" s="981"/>
      <x:c r="E7" s="981"/>
      <x:c r="F7" s="981"/>
      <x:c r="G7" s="981"/>
      <x:c r="H7" s="338"/>
      <x:c r="I7" s="338"/>
      <x:c r="J7" s="338"/>
      <x:c r="K7" s="339"/>
      <x:c r="L7" s="340" t="str">
        <x:f>SUBTOTAL(3,$L8:$L22)&amp;"건"</x:f>
        <x:v>0건</x:v>
      </x:c>
      <x:c r="M7" s="476">
        <x:f t="shared" ref="M7:N7" si="3">SUBTOTAL(9,M8:M22)</x:f>
        <x:v>0</x:v>
      </x:c>
      <x:c r="N7" s="476">
        <x:f t="shared" si="3"/>
        <x:v>0</x:v>
      </x:c>
      <x:c r="O7" s="482">
        <x:f t="shared" ref="O7:S7" si="4">SUBTOTAL(9,O8:O22)</x:f>
        <x:v>0</x:v>
      </x:c>
      <x:c r="P7" s="482">
        <x:f t="shared" si="4"/>
        <x:v>0</x:v>
      </x:c>
      <x:c r="Q7" s="482">
        <x:f t="shared" si="4"/>
        <x:v>0</x:v>
      </x:c>
      <x:c r="R7" s="482">
        <x:f t="shared" si="4"/>
        <x:v>0</x:v>
      </x:c>
      <x:c r="S7" s="482">
        <x:f t="shared" si="4"/>
        <x:v>0</x:v>
      </x:c>
      <x:c r="T7" s="337"/>
      <x:c r="U7" s="551"/>
      <x:c r="V7" s="341"/>
      <x:c r="W7" s="342"/>
      <x:c r="X7" s="343"/>
      <x:c r="Y7" s="343"/>
      <x:c r="Z7" s="343"/>
      <x:c r="AA7" s="344"/>
      <x:c r="AB7" s="483">
        <x:f>SUBTOTAL(9,AB8:AB22)</x:f>
        <x:v>0</x:v>
      </x:c>
      <x:c r="AC7" s="483">
        <x:f>SUBTOTAL(9,AC8:AC22)</x:f>
        <x:v>0</x:v>
      </x:c>
      <x:c r="AD7" s="483">
        <x:f>SUBTOTAL(9,AD8:AD22)</x:f>
        <x:v>0</x:v>
      </x:c>
      <x:c r="AE7" s="483">
        <x:f>SUBTOTAL(9,AE8:AE22)</x:f>
        <x:v>0</x:v>
      </x:c>
      <x:c r="AF7" s="554" t="str">
        <x:f>IF(COUNTIF(AF8:AF22,"@@")&gt;0,"@@","OK")</x:f>
        <x:v>OK</x:v>
      </x:c>
      <x:c r="AG7" s="344"/>
      <x:c r="AH7" s="483">
        <x:f>SUBTOTAL(9,AH8:AH22)</x:f>
        <x:v>0</x:v>
      </x:c>
      <x:c r="AI7" s="483">
        <x:f>SUBTOTAL(9,AI8:AI22)</x:f>
        <x:v>0</x:v>
      </x:c>
      <x:c r="AJ7" s="483">
        <x:f>SUBTOTAL(9,AJ8:AJ22)</x:f>
        <x:v>0</x:v>
      </x:c>
      <x:c r="AK7" s="483">
        <x:f>SUBTOTAL(9,AK8:AK22)</x:f>
        <x:v>0</x:v>
      </x:c>
      <x:c r="AL7" s="554" t="str">
        <x:f>IF(COUNTIF(AL8:AL22,"@@")&gt;0,"@@","OK")</x:f>
        <x:v>OK</x:v>
      </x:c>
      <x:c r="AM7" s="344"/>
      <x:c r="AN7" s="343"/>
      <x:c r="AO7" s="554" t="str">
        <x:f>IF(COUNTIF(AO8:AO22,"@@")&gt;0,"@@","OK")</x:f>
        <x:v>OK</x:v>
      </x:c>
      <x:c r="AP7" s="343"/>
      <x:c r="AQ7" s="554" t="str">
        <x:f>IF(COUNTIF(AQ8:AQ22,"@@")&gt;0,"@@","OK")</x:f>
        <x:v>OK</x:v>
      </x:c>
      <x:c r="AR7" s="344"/>
      <x:c r="AS7" s="343"/>
      <x:c r="AT7" s="554" t="str">
        <x:f>IF(COUNTIF(AT8:AT22,"@@")&gt;0,"@@","OK")</x:f>
        <x:v>OK</x:v>
      </x:c>
      <x:c r="AU7" s="343"/>
      <x:c r="AV7" s="554" t="str">
        <x:f>IF(COUNTIF(AV8:AV22,"@@")&gt;0,"@@","OK")</x:f>
        <x:v>OK</x:v>
      </x:c>
      <x:c r="AW7" s="344"/>
      <x:c r="AX7" s="343"/>
      <x:c r="AY7" s="344"/>
    </x:row>
    <x:row r="8" spans="1:51" s="20" customFormat="1" ht="80.099999999999994" customHeight="1">
      <x:c r="A8" s="155" t="str">
        <x:f>IF(D8="","",COUNTA($C$7:C8)-COUNTBLANK($C$7:C8)+1)</x:f>
        <x:v/>
      </x:c>
      <x:c r="B8" s="156" t="str">
        <x: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x:f>
        <x:v/>
      </x:c>
      <x:c r="C8" s="156" t="str">
        <x:f>IF(D8="","",IF(OR(D8="교육지원과",D8="총무과",D8="인사과"),"직접입력",VLOOKUP(D8,구분표!$A$3:$C$258,3,)))</x:f>
        <x:v/>
      </x:c>
      <x:c r="D8" s="219"/>
      <x:c r="E8" s="213"/>
      <x:c r="F8" s="388" t="str">
        <x:f>IF($E8="","",IF($E8="2추","직접입력","-"))</x:f>
        <x:v/>
      </x:c>
      <x:c r="G8" s="388" t="str">
        <x:f>IF($E8="","",IF($E8="2추","직접입력","-"))</x:f>
        <x:v/>
      </x:c>
      <x:c r="H8" s="213"/>
      <x:c r="I8" s="156" t="str">
        <x:f>IF(H8="","",VLOOKUP($H8,구분표!$K$3:$M$151,2,FALSE))</x:f>
        <x:v/>
      </x:c>
      <x:c r="J8" s="156" t="str">
        <x:f>IF(I8="","",VLOOKUP($H8,구분표!$K$3:$M$151,3,FALSE))</x:f>
        <x:v/>
      </x:c>
      <x:c r="K8" s="233"/>
      <x:c r="L8" s="233"/>
      <x:c r="M8" s="459" t="str">
        <x:f>IF($E8="","",IF(OR($E8="2추",$E8="1추",$E8="본예산"),"금액입력","-"))</x:f>
        <x:v/>
      </x:c>
      <x:c r="N8" s="459" t="str">
        <x:f>IF($E8="","",IF($E8="2추","금액입력","-"))</x:f>
        <x:v/>
      </x:c>
      <x:c r="O8" s="461" t="str">
        <x:f>IF($E8="","",SUM(M8:N8))</x:f>
        <x:v/>
      </x:c>
      <x:c r="P8" s="460"/>
      <x:c r="Q8" s="461">
        <x:f>SUM(O8:P8)</x:f>
        <x:v>0</x:v>
      </x:c>
      <x:c r="R8" s="462"/>
      <x:c r="S8" s="463">
        <x:f>SUM(O8,R8)</x:f>
        <x:v>0</x:v>
      </x:c>
      <x:c r="T8" s="162" t="str">
        <x:f>IF(AND((Q8=0),(S8&gt;0)),"O",IF(AND((P8&lt;0),(Q8-S8&lt;0)),"O","X"))</x:f>
        <x:v>X</x:v>
      </x:c>
      <x:c r="U8" s="552"/>
      <x:c r="V8" s="331"/>
      <x:c r="W8" s="221"/>
      <x:c r="X8" s="223"/>
      <x:c r="Y8" s="334"/>
      <x:c r="Z8" s="334"/>
      <x:c r="AA8" s="29"/>
      <x:c r="AB8" s="486">
        <x:f t="shared" ref="AB8:AB72" si="5">IF($P8="",0,IF($P8&lt;&gt;0,"재원입력필요",0))</x:f>
        <x:v>0</x:v>
      </x:c>
      <x:c r="AC8" s="487">
        <x:f>IF($P8="",0,IF(AND(ISNUMBER($AB8),ISNUMBER(AD8),ISNUMBER(AE8)),$P8-$AB8-$AD8-$AE8,0))</x:f>
        <x:v>0</x:v>
      </x:c>
      <x:c r="AD8" s="487">
        <x:f t="shared" ref="AD8:AD72" si="6">IF($P8="",0,IF(COUNT(FIND("(지방채)",$L8))&gt;0,"재원입력필요",0))</x:f>
        <x:v>0</x:v>
      </x:c>
      <x:c r="AE8" s="487">
        <x:f t="shared" ref="AE8:AE72" si="7">IF($P8="",0,IF(COUNT(FIND("(지역개발기금)",$L8))&gt;0,"재원입력필요",0))</x:f>
        <x:v>0</x:v>
      </x:c>
      <x:c r="AF8" s="374" t="str">
        <x:f t="shared" ref="AF8:AF72" si="8">IF($P8="",IF(SUM($AB8:$AE8)=0,"","@@"),IF(AND($P8=SUM($AB8:$AE8),$Q8&gt;=0),"OK","@@"))</x:f>
        <x:v/>
      </x:c>
      <x:c r="AG8" s="93"/>
      <x:c r="AH8" s="488">
        <x:f t="shared" ref="AH8:AH72" si="9">IF($R8="",0,IF($R8&lt;&gt;0,"재원입력필요",0))</x:f>
        <x:v>0</x:v>
      </x:c>
      <x:c r="AI8" s="487">
        <x:f t="shared" ref="AI8:AI72" si="10">IF($R8="",0,IF(AND(ISNUMBER($AH8),ISNUMBER($AJ8),ISNUMBER($AK8)),$R8-$AH8-$AJ8-$AK8,0))</x:f>
        <x:v>0</x:v>
      </x:c>
      <x:c r="AJ8" s="487">
        <x:f t="shared" ref="AJ8:AJ72" si="11">IF($R8="",0,IF(COUNT(FIND("(지방채)",$L8))&gt;0,"재원입력필요",0))</x:f>
        <x:v>0</x:v>
      </x:c>
      <x:c r="AK8" s="487">
        <x:f t="shared" ref="AK8:AK72" si="12">IF($R8="",0,IF(COUNT(FIND("(지역개발기금)",$L8))&gt;0,"재원입력필요",0))</x:f>
        <x:v>0</x:v>
      </x:c>
      <x:c r="AL8" s="374" t="str">
        <x:f t="shared" ref="AL8:AL72" si="13">IF($R8="",IF(SUM($AH8:$AK8)=0,"","@@"),IF(AND($R8=SUM($AH8:$AK8),$S8&gt;=0),"OK","@@"))</x:f>
        <x:v/>
      </x:c>
      <x:c r="AM8" s="92"/>
      <x:c r="AN8" s="221"/>
      <x:c r="AO8" s="374" t="str">
        <x:f>IF($AP8="","",IF($AN8="세입없음","OK",IF(OR($AP8="재원확인",$AN8=""),"@@",IF(COUNTIF('3. 일입'!$AK$8:$AK$2000,$AN8),"OK","@@"))))</x:f>
        <x:v/>
      </x:c>
      <x:c r="AP8" s="356" t="str">
        <x:f t="shared" ref="AP8:AP72" si="14">IF($K8="","",IF(COUNT(FIND("국비/",$K8)),"국비",IF(COUNT(FIND("균특/",$K8)),"균특",IF(COUNT(FIND("기금/",$K8)),"기금",IF(COUNT(FIND("교부세/",$K8)),"특교",IF(COUNT(FIND("소방안전/",$K8)),"소교",IF(COUNT(FIND("소멸대응/",$K8)),"소멸","재원확인")))))))</x:f>
        <x:v/>
      </x:c>
      <x:c r="AQ8" s="374" t="str">
        <x:f>IF(AND($AN8="",$AP8=""),"",IF(AND($AN8&lt;&gt;"",$AP8&lt;&gt;""),IF(AN8="세입없음","OK",IF(VLOOKUP($AN8,'3. 일입'!$AK$7:$AL$2000,2,FALSE)=$AP8,"OK","@@")),"@@"))</x:f>
        <x:v/>
      </x:c>
      <x:c r="AR8" s="93"/>
      <x:c r="AS8" s="533"/>
      <x:c r="AT8" s="374" t="str">
        <x:f>IF($AS8="","",IF($AS8="세입없음","OK",IF(COUNTIF('3. 일입'!$AN$8:$AN$2000,$AS8),"OK","@@")))</x:f>
        <x:v/>
      </x:c>
      <x:c r="AU8" s="356" t="str">
        <x:f t="shared" ref="AU8:AU72" si="15">IF($L8="","",IF(COUNT(FIND("(지역개발기금)",$L8)),"지역개발기금",IF(COUNT(FIND("지방채",$L8)),"지방채","자체")))</x:f>
        <x:v/>
      </x:c>
      <x:c r="AV8" s="374" t="str">
        <x:f t="shared" ref="AV8:AV72" si="16">IF($AS8="",IF($AU8="","",IF($AU8="자체","OK","@@")),IF($AS8="세입없음","OK",IF($AU8="","@@",IF(ISNUMBER(FIND($AU8,$AS8)),"OK","@@"))))</x:f>
        <x:v/>
      </x:c>
      <x:c r="AW8" s="93"/>
      <x:c r="AX8" s="348"/>
      <x:c r="AY8" s="29"/>
    </x:row>
    <x:row r="9" spans="1:51" s="20" customFormat="1" ht="80.099999999999994" customHeight="1">
      <x:c r="A9" s="155" t="str">
        <x:f>IF(D9="","",COUNTA($C$7:C9)-COUNTBLANK($C$7:C9)+1)</x:f>
        <x:v/>
      </x:c>
      <x:c r="B9" s="156" t="str">
        <x: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x:f>
        <x:v/>
      </x:c>
      <x:c r="C9" s="156" t="str">
        <x:f>IF(D9="","",IF(OR(D9="교육지원과",D9="총무과",D9="인사과"),"직접입력",VLOOKUP(D9,구분표!$A$3:$C$258,3,)))</x:f>
        <x:v/>
      </x:c>
      <x:c r="D9" s="219"/>
      <x:c r="E9" s="213"/>
      <x:c r="F9" s="388" t="str">
        <x:f t="shared" ref="F9:G22" si="17">IF($E9="","",IF($E9="2추","직접입력","-"))</x:f>
        <x:v/>
      </x:c>
      <x:c r="G9" s="388" t="str">
        <x:f t="shared" si="17"/>
        <x:v/>
      </x:c>
      <x:c r="H9" s="213"/>
      <x:c r="I9" s="156" t="str">
        <x:f>IF(H9="","",VLOOKUP($H9,구분표!$K$3:$M$151,2,FALSE))</x:f>
        <x:v/>
      </x:c>
      <x:c r="J9" s="156" t="str">
        <x:f>IF(I9="","",VLOOKUP($H9,구분표!$K$3:$M$151,3,FALSE))</x:f>
        <x:v/>
      </x:c>
      <x:c r="K9" s="233"/>
      <x:c r="L9" s="233"/>
      <x:c r="M9" s="459" t="str">
        <x:f t="shared" ref="M9:M22" si="18">IF($E9="","",IF(OR($E9="2추",$E9="1추",$E9="본예산"),"금액입력","-"))</x:f>
        <x:v/>
      </x:c>
      <x:c r="N9" s="459" t="str">
        <x:f t="shared" ref="N9:N22" si="19">IF($E9="","",IF($E9="2추","금액입력","-"))</x:f>
        <x:v/>
      </x:c>
      <x:c r="O9" s="461" t="str">
        <x:f t="shared" ref="O9:O22" si="20">IF($E9="","",SUM(M9:N9))</x:f>
        <x:v/>
      </x:c>
      <x:c r="P9" s="460"/>
      <x:c r="Q9" s="461">
        <x:f t="shared" ref="Q9:Q22" si="21">SUM(O9:P9)</x:f>
        <x:v>0</x:v>
      </x:c>
      <x:c r="R9" s="462"/>
      <x:c r="S9" s="463">
        <x:f t="shared" ref="S9:S22" si="22">SUM(O9,R9)</x:f>
        <x:v>0</x:v>
      </x:c>
      <x:c r="T9" s="162" t="str">
        <x:f t="shared" ref="T9:T22" si="23">IF(AND((Q9=0),(S9&gt;0)),"O",IF(AND((P9&lt;0),(Q9-S9&lt;0)),"O","X"))</x:f>
        <x:v>X</x:v>
      </x:c>
      <x:c r="U9" s="552"/>
      <x:c r="V9" s="331"/>
      <x:c r="W9" s="221"/>
      <x:c r="X9" s="223"/>
      <x:c r="Y9" s="334"/>
      <x:c r="Z9" s="334"/>
      <x:c r="AA9" s="29"/>
      <x:c r="AB9" s="486">
        <x:f t="shared" si="5"/>
        <x:v>0</x:v>
      </x:c>
      <x:c r="AC9" s="487">
        <x:f t="shared" ref="AC9:AC22" si="24">IF($P9="",0,IF(AND(ISNUMBER($AB9),ISNUMBER(AD9),ISNUMBER(AE9)),$P9-$AB9-$AD9-$AE9,0))</x:f>
        <x:v>0</x:v>
      </x:c>
      <x:c r="AD9" s="487">
        <x:f t="shared" si="6"/>
        <x:v>0</x:v>
      </x:c>
      <x:c r="AE9" s="487">
        <x:f t="shared" si="7"/>
        <x:v>0</x:v>
      </x:c>
      <x:c r="AF9" s="374" t="str">
        <x:f t="shared" si="8"/>
        <x:v/>
      </x:c>
      <x:c r="AG9" s="93"/>
      <x:c r="AH9" s="488">
        <x:f t="shared" si="9"/>
        <x:v>0</x:v>
      </x:c>
      <x:c r="AI9" s="487">
        <x:f t="shared" si="10"/>
        <x:v>0</x:v>
      </x:c>
      <x:c r="AJ9" s="487">
        <x:f t="shared" si="11"/>
        <x:v>0</x:v>
      </x:c>
      <x:c r="AK9" s="487">
        <x:f t="shared" si="12"/>
        <x:v>0</x:v>
      </x:c>
      <x:c r="AL9" s="374" t="str">
        <x:f t="shared" si="13"/>
        <x:v/>
      </x:c>
      <x:c r="AM9" s="92"/>
      <x:c r="AN9" s="221"/>
      <x:c r="AO9" s="374" t="str">
        <x:f>IF($AP9="","",IF($AN9="세입없음","OK",IF(OR($AP9="재원확인",$AN9=""),"@@",IF(COUNTIF('3. 일입'!$AK$8:$AK$2000,$AN9),"OK","@@"))))</x:f>
        <x:v/>
      </x:c>
      <x:c r="AP9" s="356" t="str">
        <x:f t="shared" si="14"/>
        <x:v/>
      </x:c>
      <x:c r="AQ9" s="374" t="str">
        <x:f>IF(AND($AN9="",$AP9=""),"",IF(AND($AN9&lt;&gt;"",$AP9&lt;&gt;""),IF(AN9="세입없음","OK",IF(VLOOKUP($AN9,'3. 일입'!$AK$7:$AL$2000,2,FALSE)=$AP9,"OK","@@")),"@@"))</x:f>
        <x:v/>
      </x:c>
      <x:c r="AR9" s="93"/>
      <x:c r="AS9" s="533"/>
      <x:c r="AT9" s="374" t="str">
        <x:f>IF($AS9="","",IF($AS9="세입없음","OK",IF(COUNTIF('3. 일입'!$AN$8:$AN$2000,$AS9),"OK","@@")))</x:f>
        <x:v/>
      </x:c>
      <x:c r="AU9" s="356" t="str">
        <x:f t="shared" si="15"/>
        <x:v/>
      </x:c>
      <x:c r="AV9" s="374" t="str">
        <x:f t="shared" si="16"/>
        <x:v/>
      </x:c>
      <x:c r="AW9" s="93"/>
      <x:c r="AX9" s="348"/>
      <x:c r="AY9" s="29"/>
    </x:row>
    <x:row r="10" spans="1:51" s="20" customFormat="1" ht="80.099999999999994" customHeight="1">
      <x:c r="A10" s="155" t="str">
        <x:f>IF(D10="","",COUNTA($C$7:C10)-COUNTBLANK($C$7:C10)+1)</x:f>
        <x:v/>
      </x:c>
      <x:c r="B10" s="156" t="str">
        <x: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x:f>
        <x:v/>
      </x:c>
      <x:c r="C10" s="156" t="str">
        <x:f>IF(D10="","",IF(OR(D10="교육지원과",D10="총무과",D10="인사과"),"직접입력",VLOOKUP(D10,구분표!$A$3:$C$258,3,)))</x:f>
        <x:v/>
      </x:c>
      <x:c r="D10" s="219"/>
      <x:c r="E10" s="213"/>
      <x:c r="F10" s="388" t="str">
        <x:f t="shared" si="17"/>
        <x:v/>
      </x:c>
      <x:c r="G10" s="388" t="str">
        <x:f t="shared" si="17"/>
        <x:v/>
      </x:c>
      <x:c r="H10" s="213"/>
      <x:c r="I10" s="156" t="str">
        <x:f>IF(H10="","",VLOOKUP($H10,구분표!$K$3:$M$151,2,FALSE))</x:f>
        <x:v/>
      </x:c>
      <x:c r="J10" s="156" t="str">
        <x:f>IF(I10="","",VLOOKUP($H10,구분표!$K$3:$M$151,3,FALSE))</x:f>
        <x:v/>
      </x:c>
      <x:c r="K10" s="233"/>
      <x:c r="L10" s="233"/>
      <x:c r="M10" s="459" t="str">
        <x:f t="shared" si="18"/>
        <x:v/>
      </x:c>
      <x:c r="N10" s="459" t="str">
        <x:f t="shared" si="19"/>
        <x:v/>
      </x:c>
      <x:c r="O10" s="461" t="str">
        <x:f t="shared" si="20"/>
        <x:v/>
      </x:c>
      <x:c r="P10" s="460"/>
      <x:c r="Q10" s="461">
        <x:f t="shared" si="21"/>
        <x:v>0</x:v>
      </x:c>
      <x:c r="R10" s="462"/>
      <x:c r="S10" s="463">
        <x:f t="shared" si="22"/>
        <x:v>0</x:v>
      </x:c>
      <x:c r="T10" s="162" t="str">
        <x:f t="shared" si="23"/>
        <x:v>X</x:v>
      </x:c>
      <x:c r="U10" s="552"/>
      <x:c r="V10" s="331"/>
      <x:c r="W10" s="221"/>
      <x:c r="X10" s="223"/>
      <x:c r="Y10" s="334"/>
      <x:c r="Z10" s="334"/>
      <x:c r="AA10" s="29"/>
      <x:c r="AB10" s="486">
        <x:f t="shared" si="5"/>
        <x:v>0</x:v>
      </x:c>
      <x:c r="AC10" s="487">
        <x:f t="shared" si="24"/>
        <x:v>0</x:v>
      </x:c>
      <x:c r="AD10" s="487">
        <x:f t="shared" si="6"/>
        <x:v>0</x:v>
      </x:c>
      <x:c r="AE10" s="487">
        <x:f t="shared" si="7"/>
        <x:v>0</x:v>
      </x:c>
      <x:c r="AF10" s="374" t="str">
        <x:f t="shared" si="8"/>
        <x:v/>
      </x:c>
      <x:c r="AG10" s="93"/>
      <x:c r="AH10" s="488">
        <x:f t="shared" si="9"/>
        <x:v>0</x:v>
      </x:c>
      <x:c r="AI10" s="487">
        <x:f t="shared" si="10"/>
        <x:v>0</x:v>
      </x:c>
      <x:c r="AJ10" s="487">
        <x:f t="shared" si="11"/>
        <x:v>0</x:v>
      </x:c>
      <x:c r="AK10" s="487">
        <x:f t="shared" si="12"/>
        <x:v>0</x:v>
      </x:c>
      <x:c r="AL10" s="374" t="str">
        <x:f t="shared" si="13"/>
        <x:v/>
      </x:c>
      <x:c r="AM10" s="92"/>
      <x:c r="AN10" s="221"/>
      <x:c r="AO10" s="374" t="str">
        <x:f>IF($AP10="","",IF($AN10="세입없음","OK",IF(OR($AP10="재원확인",$AN10=""),"@@",IF(COUNTIF('3. 일입'!$AK$8:$AK$2000,$AN10),"OK","@@"))))</x:f>
        <x:v/>
      </x:c>
      <x:c r="AP10" s="356" t="str">
        <x:f t="shared" si="14"/>
        <x:v/>
      </x:c>
      <x:c r="AQ10" s="374" t="str">
        <x:f>IF(AND($AN10="",$AP10=""),"",IF(AND($AN10&lt;&gt;"",$AP10&lt;&gt;""),IF(AN10="세입없음","OK",IF(VLOOKUP($AN10,'3. 일입'!$AK$7:$AL$2000,2,FALSE)=$AP10,"OK","@@")),"@@"))</x:f>
        <x:v/>
      </x:c>
      <x:c r="AR10" s="93"/>
      <x:c r="AS10" s="533"/>
      <x:c r="AT10" s="374" t="str">
        <x:f>IF($AS10="","",IF($AS10="세입없음","OK",IF(COUNTIF('3. 일입'!$AN$8:$AN$2000,$AS10),"OK","@@")))</x:f>
        <x:v/>
      </x:c>
      <x:c r="AU10" s="356" t="str">
        <x:f t="shared" si="15"/>
        <x:v/>
      </x:c>
      <x:c r="AV10" s="374" t="str">
        <x:f t="shared" si="16"/>
        <x:v/>
      </x:c>
      <x:c r="AW10" s="93"/>
      <x:c r="AX10" s="348"/>
      <x:c r="AY10" s="29"/>
    </x:row>
    <x:row r="11" spans="1:51" s="20" customFormat="1" ht="80.099999999999994" customHeight="1">
      <x:c r="A11" s="155" t="str">
        <x:f>IF(D11="","",COUNTA($C$7:C11)-COUNTBLANK($C$7:C11)+1)</x:f>
        <x:v/>
      </x:c>
      <x:c r="B11" s="156" t="str">
        <x: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x:f>
        <x:v/>
      </x:c>
      <x:c r="C11" s="156" t="str">
        <x:f>IF(D11="","",IF(OR(D11="교육지원과",D11="총무과",D11="인사과"),"직접입력",VLOOKUP(D11,구분표!$A$3:$C$258,3,)))</x:f>
        <x:v/>
      </x:c>
      <x:c r="D11" s="219"/>
      <x:c r="E11" s="213"/>
      <x:c r="F11" s="388" t="str">
        <x:f t="shared" si="17"/>
        <x:v/>
      </x:c>
      <x:c r="G11" s="388" t="str">
        <x:f t="shared" si="17"/>
        <x:v/>
      </x:c>
      <x:c r="H11" s="213"/>
      <x:c r="I11" s="156" t="str">
        <x:f>IF(H11="","",VLOOKUP($H11,구분표!$K$3:$M$151,2,FALSE))</x:f>
        <x:v/>
      </x:c>
      <x:c r="J11" s="156" t="str">
        <x:f>IF(I11="","",VLOOKUP($H11,구분표!$K$3:$M$151,3,FALSE))</x:f>
        <x:v/>
      </x:c>
      <x:c r="K11" s="233"/>
      <x:c r="L11" s="233"/>
      <x:c r="M11" s="459" t="str">
        <x:f t="shared" si="18"/>
        <x:v/>
      </x:c>
      <x:c r="N11" s="459" t="str">
        <x:f t="shared" si="19"/>
        <x:v/>
      </x:c>
      <x:c r="O11" s="461" t="str">
        <x:f t="shared" si="20"/>
        <x:v/>
      </x:c>
      <x:c r="P11" s="460"/>
      <x:c r="Q11" s="461">
        <x:f t="shared" si="21"/>
        <x:v>0</x:v>
      </x:c>
      <x:c r="R11" s="462"/>
      <x:c r="S11" s="463">
        <x:f t="shared" si="22"/>
        <x:v>0</x:v>
      </x:c>
      <x:c r="T11" s="162" t="str">
        <x:f t="shared" si="23"/>
        <x:v>X</x:v>
      </x:c>
      <x:c r="U11" s="552"/>
      <x:c r="V11" s="331"/>
      <x:c r="W11" s="221"/>
      <x:c r="X11" s="223"/>
      <x:c r="Y11" s="334"/>
      <x:c r="Z11" s="334"/>
      <x:c r="AA11" s="29"/>
      <x:c r="AB11" s="486">
        <x:f t="shared" si="5"/>
        <x:v>0</x:v>
      </x:c>
      <x:c r="AC11" s="487">
        <x:f t="shared" si="24"/>
        <x:v>0</x:v>
      </x:c>
      <x:c r="AD11" s="487">
        <x:f t="shared" si="6"/>
        <x:v>0</x:v>
      </x:c>
      <x:c r="AE11" s="487">
        <x:f t="shared" si="7"/>
        <x:v>0</x:v>
      </x:c>
      <x:c r="AF11" s="374" t="str">
        <x:f t="shared" si="8"/>
        <x:v/>
      </x:c>
      <x:c r="AG11" s="93"/>
      <x:c r="AH11" s="488">
        <x:f t="shared" si="9"/>
        <x:v>0</x:v>
      </x:c>
      <x:c r="AI11" s="487">
        <x:f t="shared" si="10"/>
        <x:v>0</x:v>
      </x:c>
      <x:c r="AJ11" s="487">
        <x:f t="shared" si="11"/>
        <x:v>0</x:v>
      </x:c>
      <x:c r="AK11" s="487">
        <x:f t="shared" si="12"/>
        <x:v>0</x:v>
      </x:c>
      <x:c r="AL11" s="374" t="str">
        <x:f t="shared" si="13"/>
        <x:v/>
      </x:c>
      <x:c r="AM11" s="92"/>
      <x:c r="AN11" s="221"/>
      <x:c r="AO11" s="374" t="str">
        <x:f>IF($AP11="","",IF($AN11="세입없음","OK",IF(OR($AP11="재원확인",$AN11=""),"@@",IF(COUNTIF('3. 일입'!$AK$8:$AK$2000,$AN11),"OK","@@"))))</x:f>
        <x:v/>
      </x:c>
      <x:c r="AP11" s="356" t="str">
        <x:f t="shared" si="14"/>
        <x:v/>
      </x:c>
      <x:c r="AQ11" s="374" t="str">
        <x:f>IF(AND($AN11="",$AP11=""),"",IF(AND($AN11&lt;&gt;"",$AP11&lt;&gt;""),IF(AN11="세입없음","OK",IF(VLOOKUP($AN11,'3. 일입'!$AK$7:$AL$2000,2,FALSE)=$AP11,"OK","@@")),"@@"))</x:f>
        <x:v/>
      </x:c>
      <x:c r="AR11" s="93"/>
      <x:c r="AS11" s="533"/>
      <x:c r="AT11" s="374" t="str">
        <x:f>IF($AS11="","",IF($AS11="세입없음","OK",IF(COUNTIF('3. 일입'!$AN$8:$AN$2000,$AS11),"OK","@@")))</x:f>
        <x:v/>
      </x:c>
      <x:c r="AU11" s="356" t="str">
        <x:f t="shared" si="15"/>
        <x:v/>
      </x:c>
      <x:c r="AV11" s="374" t="str">
        <x:f t="shared" si="16"/>
        <x:v/>
      </x:c>
      <x:c r="AW11" s="93"/>
      <x:c r="AX11" s="348"/>
      <x:c r="AY11" s="29"/>
    </x:row>
    <x:row r="12" spans="1:51" s="20" customFormat="1" ht="80.099999999999994" customHeight="1">
      <x:c r="A12" s="155" t="str">
        <x:f>IF(D12="","",COUNTA($C$7:C12)-COUNTBLANK($C$7:C12)+1)</x:f>
        <x:v/>
      </x:c>
      <x:c r="B12" s="156" t="str">
        <x: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x:f>
        <x:v/>
      </x:c>
      <x:c r="C12" s="156" t="str">
        <x:f>IF(D12="","",IF(OR(D12="교육지원과",D12="총무과",D12="인사과"),"직접입력",VLOOKUP(D12,구분표!$A$3:$C$258,3,)))</x:f>
        <x:v/>
      </x:c>
      <x:c r="D12" s="219"/>
      <x:c r="E12" s="213"/>
      <x:c r="F12" s="388" t="str">
        <x:f t="shared" si="17"/>
        <x:v/>
      </x:c>
      <x:c r="G12" s="388" t="str">
        <x:f t="shared" si="17"/>
        <x:v/>
      </x:c>
      <x:c r="H12" s="213"/>
      <x:c r="I12" s="156" t="str">
        <x:f>IF(H12="","",VLOOKUP($H12,구분표!$K$3:$M$151,2,FALSE))</x:f>
        <x:v/>
      </x:c>
      <x:c r="J12" s="156" t="str">
        <x:f>IF(I12="","",VLOOKUP($H12,구분표!$K$3:$M$151,3,FALSE))</x:f>
        <x:v/>
      </x:c>
      <x:c r="K12" s="233"/>
      <x:c r="L12" s="233"/>
      <x:c r="M12" s="459" t="str">
        <x:f t="shared" si="18"/>
        <x:v/>
      </x:c>
      <x:c r="N12" s="459" t="str">
        <x:f t="shared" si="19"/>
        <x:v/>
      </x:c>
      <x:c r="O12" s="461" t="str">
        <x:f t="shared" si="20"/>
        <x:v/>
      </x:c>
      <x:c r="P12" s="460"/>
      <x:c r="Q12" s="461">
        <x:f t="shared" si="21"/>
        <x:v>0</x:v>
      </x:c>
      <x:c r="R12" s="462"/>
      <x:c r="S12" s="463">
        <x:f t="shared" si="22"/>
        <x:v>0</x:v>
      </x:c>
      <x:c r="T12" s="162" t="str">
        <x:f t="shared" si="23"/>
        <x:v>X</x:v>
      </x:c>
      <x:c r="U12" s="552"/>
      <x:c r="V12" s="331"/>
      <x:c r="W12" s="221"/>
      <x:c r="X12" s="223"/>
      <x:c r="Y12" s="334"/>
      <x:c r="Z12" s="334"/>
      <x:c r="AA12" s="29"/>
      <x:c r="AB12" s="486">
        <x:f t="shared" si="5"/>
        <x:v>0</x:v>
      </x:c>
      <x:c r="AC12" s="487">
        <x:f t="shared" si="24"/>
        <x:v>0</x:v>
      </x:c>
      <x:c r="AD12" s="487">
        <x:f t="shared" si="6"/>
        <x:v>0</x:v>
      </x:c>
      <x:c r="AE12" s="487">
        <x:f t="shared" si="7"/>
        <x:v>0</x:v>
      </x:c>
      <x:c r="AF12" s="374" t="str">
        <x:f t="shared" si="8"/>
        <x:v/>
      </x:c>
      <x:c r="AG12" s="93"/>
      <x:c r="AH12" s="488">
        <x:f t="shared" si="9"/>
        <x:v>0</x:v>
      </x:c>
      <x:c r="AI12" s="487">
        <x:f t="shared" si="10"/>
        <x:v>0</x:v>
      </x:c>
      <x:c r="AJ12" s="487">
        <x:f t="shared" si="11"/>
        <x:v>0</x:v>
      </x:c>
      <x:c r="AK12" s="487">
        <x:f t="shared" si="12"/>
        <x:v>0</x:v>
      </x:c>
      <x:c r="AL12" s="374" t="str">
        <x:f t="shared" si="13"/>
        <x:v/>
      </x:c>
      <x:c r="AM12" s="92"/>
      <x:c r="AN12" s="221"/>
      <x:c r="AO12" s="374" t="str">
        <x:f>IF($AP12="","",IF($AN12="세입없음","OK",IF(OR($AP12="재원확인",$AN12=""),"@@",IF(COUNTIF('3. 일입'!$AK$8:$AK$2000,$AN12),"OK","@@"))))</x:f>
        <x:v/>
      </x:c>
      <x:c r="AP12" s="356" t="str">
        <x:f t="shared" si="14"/>
        <x:v/>
      </x:c>
      <x:c r="AQ12" s="374" t="str">
        <x:f>IF(AND($AN12="",$AP12=""),"",IF(AND($AN12&lt;&gt;"",$AP12&lt;&gt;""),IF(AN12="세입없음","OK",IF(VLOOKUP($AN12,'3. 일입'!$AK$7:$AL$2000,2,FALSE)=$AP12,"OK","@@")),"@@"))</x:f>
        <x:v/>
      </x:c>
      <x:c r="AR12" s="93"/>
      <x:c r="AS12" s="533"/>
      <x:c r="AT12" s="374" t="str">
        <x:f>IF($AS12="","",IF($AS12="세입없음","OK",IF(COUNTIF('3. 일입'!$AN$8:$AN$2000,$AS12),"OK","@@")))</x:f>
        <x:v/>
      </x:c>
      <x:c r="AU12" s="356" t="str">
        <x:f t="shared" si="15"/>
        <x:v/>
      </x:c>
      <x:c r="AV12" s="374" t="str">
        <x:f t="shared" si="16"/>
        <x:v/>
      </x:c>
      <x:c r="AW12" s="93"/>
      <x:c r="AX12" s="348"/>
      <x:c r="AY12" s="29"/>
    </x:row>
    <x:row r="13" spans="1:51" s="20" customFormat="1" ht="80.099999999999994" customHeight="1">
      <x:c r="A13" s="155" t="str">
        <x:f>IF(D13="","",COUNTA($C$7:C13)-COUNTBLANK($C$7:C13)+1)</x:f>
        <x:v/>
      </x:c>
      <x:c r="B13" s="156" t="str">
        <x: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x:f>
        <x:v/>
      </x:c>
      <x:c r="C13" s="156" t="str">
        <x:f>IF(D13="","",IF(OR(D13="교육지원과",D13="총무과",D13="인사과"),"직접입력",VLOOKUP(D13,구분표!$A$3:$C$258,3,)))</x:f>
        <x:v/>
      </x:c>
      <x:c r="D13" s="219"/>
      <x:c r="E13" s="213"/>
      <x:c r="F13" s="388" t="str">
        <x:f t="shared" si="17"/>
        <x:v/>
      </x:c>
      <x:c r="G13" s="388" t="str">
        <x:f t="shared" si="17"/>
        <x:v/>
      </x:c>
      <x:c r="H13" s="213"/>
      <x:c r="I13" s="156" t="str">
        <x:f>IF(H13="","",VLOOKUP($H13,구분표!$K$3:$M$151,2,FALSE))</x:f>
        <x:v/>
      </x:c>
      <x:c r="J13" s="156" t="str">
        <x:f>IF(I13="","",VLOOKUP($H13,구분표!$K$3:$M$151,3,FALSE))</x:f>
        <x:v/>
      </x:c>
      <x:c r="K13" s="233"/>
      <x:c r="L13" s="233"/>
      <x:c r="M13" s="459" t="str">
        <x:f t="shared" si="18"/>
        <x:v/>
      </x:c>
      <x:c r="N13" s="459" t="str">
        <x:f t="shared" si="19"/>
        <x:v/>
      </x:c>
      <x:c r="O13" s="461" t="str">
        <x:f t="shared" si="20"/>
        <x:v/>
      </x:c>
      <x:c r="P13" s="460"/>
      <x:c r="Q13" s="461">
        <x:f t="shared" si="21"/>
        <x:v>0</x:v>
      </x:c>
      <x:c r="R13" s="462"/>
      <x:c r="S13" s="463">
        <x:f t="shared" si="22"/>
        <x:v>0</x:v>
      </x:c>
      <x:c r="T13" s="162" t="str">
        <x:f t="shared" si="23"/>
        <x:v>X</x:v>
      </x:c>
      <x:c r="U13" s="552"/>
      <x:c r="V13" s="331"/>
      <x:c r="W13" s="221"/>
      <x:c r="X13" s="223"/>
      <x:c r="Y13" s="334"/>
      <x:c r="Z13" s="334"/>
      <x:c r="AA13" s="29"/>
      <x:c r="AB13" s="486">
        <x:f t="shared" si="5"/>
        <x:v>0</x:v>
      </x:c>
      <x:c r="AC13" s="487">
        <x:f t="shared" si="24"/>
        <x:v>0</x:v>
      </x:c>
      <x:c r="AD13" s="487">
        <x:f t="shared" si="6"/>
        <x:v>0</x:v>
      </x:c>
      <x:c r="AE13" s="487">
        <x:f t="shared" si="7"/>
        <x:v>0</x:v>
      </x:c>
      <x:c r="AF13" s="374" t="str">
        <x:f t="shared" si="8"/>
        <x:v/>
      </x:c>
      <x:c r="AG13" s="93"/>
      <x:c r="AH13" s="488">
        <x:f t="shared" si="9"/>
        <x:v>0</x:v>
      </x:c>
      <x:c r="AI13" s="487">
        <x:f t="shared" si="10"/>
        <x:v>0</x:v>
      </x:c>
      <x:c r="AJ13" s="487">
        <x:f t="shared" si="11"/>
        <x:v>0</x:v>
      </x:c>
      <x:c r="AK13" s="487">
        <x:f t="shared" si="12"/>
        <x:v>0</x:v>
      </x:c>
      <x:c r="AL13" s="374" t="str">
        <x:f t="shared" si="13"/>
        <x:v/>
      </x:c>
      <x:c r="AM13" s="92"/>
      <x:c r="AN13" s="221"/>
      <x:c r="AO13" s="374" t="str">
        <x:f>IF($AP13="","",IF($AN13="세입없음","OK",IF(OR($AP13="재원확인",$AN13=""),"@@",IF(COUNTIF('3. 일입'!$AK$8:$AK$2000,$AN13),"OK","@@"))))</x:f>
        <x:v/>
      </x:c>
      <x:c r="AP13" s="356" t="str">
        <x:f t="shared" si="14"/>
        <x:v/>
      </x:c>
      <x:c r="AQ13" s="374" t="str">
        <x:f>IF(AND($AN13="",$AP13=""),"",IF(AND($AN13&lt;&gt;"",$AP13&lt;&gt;""),IF(AN13="세입없음","OK",IF(VLOOKUP($AN13,'3. 일입'!$AK$7:$AL$2000,2,FALSE)=$AP13,"OK","@@")),"@@"))</x:f>
        <x:v/>
      </x:c>
      <x:c r="AR13" s="93"/>
      <x:c r="AS13" s="533"/>
      <x:c r="AT13" s="374" t="str">
        <x:f>IF($AS13="","",IF($AS13="세입없음","OK",IF(COUNTIF('3. 일입'!$AN$8:$AN$2000,$AS13),"OK","@@")))</x:f>
        <x:v/>
      </x:c>
      <x:c r="AU13" s="356" t="str">
        <x:f t="shared" si="15"/>
        <x:v/>
      </x:c>
      <x:c r="AV13" s="374" t="str">
        <x:f t="shared" si="16"/>
        <x:v/>
      </x:c>
      <x:c r="AW13" s="93"/>
      <x:c r="AX13" s="348"/>
      <x:c r="AY13" s="29"/>
    </x:row>
    <x:row r="14" spans="1:51" s="20" customFormat="1" ht="80.099999999999994" customHeight="1">
      <x:c r="A14" s="155" t="str">
        <x:f>IF(D14="","",COUNTA($C$7:C14)-COUNTBLANK($C$7:C14)+1)</x:f>
        <x:v/>
      </x:c>
      <x:c r="B14" s="156" t="str">
        <x: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x:f>
        <x:v/>
      </x:c>
      <x:c r="C14" s="156" t="str">
        <x:f>IF(D14="","",IF(OR(D14="교육지원과",D14="총무과",D14="인사과"),"직접입력",VLOOKUP(D14,구분표!$A$3:$C$258,3,)))</x:f>
        <x:v/>
      </x:c>
      <x:c r="D14" s="219"/>
      <x:c r="E14" s="213"/>
      <x:c r="F14" s="388" t="str">
        <x:f t="shared" si="17"/>
        <x:v/>
      </x:c>
      <x:c r="G14" s="388" t="str">
        <x:f t="shared" si="17"/>
        <x:v/>
      </x:c>
      <x:c r="H14" s="213"/>
      <x:c r="I14" s="156" t="str">
        <x:f>IF(H14="","",VLOOKUP($H14,구분표!$K$3:$M$151,2,FALSE))</x:f>
        <x:v/>
      </x:c>
      <x:c r="J14" s="156" t="str">
        <x:f>IF(I14="","",VLOOKUP($H14,구분표!$K$3:$M$151,3,FALSE))</x:f>
        <x:v/>
      </x:c>
      <x:c r="K14" s="233"/>
      <x:c r="L14" s="233"/>
      <x:c r="M14" s="459" t="str">
        <x:f t="shared" si="18"/>
        <x:v/>
      </x:c>
      <x:c r="N14" s="459" t="str">
        <x:f t="shared" si="19"/>
        <x:v/>
      </x:c>
      <x:c r="O14" s="461" t="str">
        <x:f t="shared" si="20"/>
        <x:v/>
      </x:c>
      <x:c r="P14" s="460"/>
      <x:c r="Q14" s="461">
        <x:f t="shared" si="21"/>
        <x:v>0</x:v>
      </x:c>
      <x:c r="R14" s="462"/>
      <x:c r="S14" s="463">
        <x:f t="shared" si="22"/>
        <x:v>0</x:v>
      </x:c>
      <x:c r="T14" s="162" t="str">
        <x:f t="shared" si="23"/>
        <x:v>X</x:v>
      </x:c>
      <x:c r="U14" s="552"/>
      <x:c r="V14" s="331"/>
      <x:c r="W14" s="221"/>
      <x:c r="X14" s="223"/>
      <x:c r="Y14" s="334"/>
      <x:c r="Z14" s="334"/>
      <x:c r="AA14" s="29"/>
      <x:c r="AB14" s="486">
        <x:f t="shared" si="5"/>
        <x:v>0</x:v>
      </x:c>
      <x:c r="AC14" s="487">
        <x:f t="shared" si="24"/>
        <x:v>0</x:v>
      </x:c>
      <x:c r="AD14" s="487">
        <x:f t="shared" si="6"/>
        <x:v>0</x:v>
      </x:c>
      <x:c r="AE14" s="487">
        <x:f t="shared" si="7"/>
        <x:v>0</x:v>
      </x:c>
      <x:c r="AF14" s="374" t="str">
        <x:f t="shared" si="8"/>
        <x:v/>
      </x:c>
      <x:c r="AG14" s="93"/>
      <x:c r="AH14" s="488">
        <x:f t="shared" si="9"/>
        <x:v>0</x:v>
      </x:c>
      <x:c r="AI14" s="487">
        <x:f t="shared" si="10"/>
        <x:v>0</x:v>
      </x:c>
      <x:c r="AJ14" s="487">
        <x:f t="shared" si="11"/>
        <x:v>0</x:v>
      </x:c>
      <x:c r="AK14" s="487">
        <x:f t="shared" si="12"/>
        <x:v>0</x:v>
      </x:c>
      <x:c r="AL14" s="374" t="str">
        <x:f t="shared" si="13"/>
        <x:v/>
      </x:c>
      <x:c r="AM14" s="92"/>
      <x:c r="AN14" s="221"/>
      <x:c r="AO14" s="374" t="str">
        <x:f>IF($AP14="","",IF($AN14="세입없음","OK",IF(OR($AP14="재원확인",$AN14=""),"@@",IF(COUNTIF('3. 일입'!$AK$8:$AK$2000,$AN14),"OK","@@"))))</x:f>
        <x:v/>
      </x:c>
      <x:c r="AP14" s="356" t="str">
        <x:f t="shared" si="14"/>
        <x:v/>
      </x:c>
      <x:c r="AQ14" s="374" t="str">
        <x:f>IF(AND($AN14="",$AP14=""),"",IF(AND($AN14&lt;&gt;"",$AP14&lt;&gt;""),IF(AN14="세입없음","OK",IF(VLOOKUP($AN14,'3. 일입'!$AK$7:$AL$2000,2,FALSE)=$AP14,"OK","@@")),"@@"))</x:f>
        <x:v/>
      </x:c>
      <x:c r="AR14" s="93"/>
      <x:c r="AS14" s="533"/>
      <x:c r="AT14" s="374" t="str">
        <x:f>IF($AS14="","",IF($AS14="세입없음","OK",IF(COUNTIF('3. 일입'!$AN$8:$AN$2000,$AS14),"OK","@@")))</x:f>
        <x:v/>
      </x:c>
      <x:c r="AU14" s="356" t="str">
        <x:f t="shared" si="15"/>
        <x:v/>
      </x:c>
      <x:c r="AV14" s="374" t="str">
        <x:f t="shared" si="16"/>
        <x:v/>
      </x:c>
      <x:c r="AW14" s="93"/>
      <x:c r="AX14" s="348"/>
      <x:c r="AY14" s="29"/>
    </x:row>
    <x:row r="15" spans="1:51" s="20" customFormat="1" ht="80.099999999999994" customHeight="1">
      <x:c r="A15" s="155" t="str">
        <x:f>IF(D15="","",COUNTA($C$7:C15)-COUNTBLANK($C$7:C15)+1)</x:f>
        <x:v/>
      </x:c>
      <x:c r="B15" s="156" t="str">
        <x: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x:f>
        <x:v/>
      </x:c>
      <x:c r="C15" s="156" t="str">
        <x:f>IF(D15="","",IF(OR(D15="교육지원과",D15="총무과",D15="인사과"),"직접입력",VLOOKUP(D15,구분표!$A$3:$C$258,3,)))</x:f>
        <x:v/>
      </x:c>
      <x:c r="D15" s="219"/>
      <x:c r="E15" s="213"/>
      <x:c r="F15" s="388" t="str">
        <x:f t="shared" si="17"/>
        <x:v/>
      </x:c>
      <x:c r="G15" s="388" t="str">
        <x:f t="shared" si="17"/>
        <x:v/>
      </x:c>
      <x:c r="H15" s="213"/>
      <x:c r="I15" s="156" t="str">
        <x:f>IF(H15="","",VLOOKUP($H15,구분표!$K$3:$M$151,2,FALSE))</x:f>
        <x:v/>
      </x:c>
      <x:c r="J15" s="156" t="str">
        <x:f>IF(I15="","",VLOOKUP($H15,구분표!$K$3:$M$151,3,FALSE))</x:f>
        <x:v/>
      </x:c>
      <x:c r="K15" s="233"/>
      <x:c r="L15" s="233"/>
      <x:c r="M15" s="459" t="str">
        <x:f t="shared" si="18"/>
        <x:v/>
      </x:c>
      <x:c r="N15" s="459" t="str">
        <x:f t="shared" si="19"/>
        <x:v/>
      </x:c>
      <x:c r="O15" s="461" t="str">
        <x:f t="shared" si="20"/>
        <x:v/>
      </x:c>
      <x:c r="P15" s="460"/>
      <x:c r="Q15" s="461">
        <x:f t="shared" si="21"/>
        <x:v>0</x:v>
      </x:c>
      <x:c r="R15" s="462"/>
      <x:c r="S15" s="463">
        <x:f t="shared" si="22"/>
        <x:v>0</x:v>
      </x:c>
      <x:c r="T15" s="162" t="str">
        <x:f t="shared" si="23"/>
        <x:v>X</x:v>
      </x:c>
      <x:c r="U15" s="552"/>
      <x:c r="V15" s="331"/>
      <x:c r="W15" s="221"/>
      <x:c r="X15" s="223"/>
      <x:c r="Y15" s="334"/>
      <x:c r="Z15" s="334"/>
      <x:c r="AA15" s="29"/>
      <x:c r="AB15" s="486">
        <x:f t="shared" si="5"/>
        <x:v>0</x:v>
      </x:c>
      <x:c r="AC15" s="487">
        <x:f t="shared" si="24"/>
        <x:v>0</x:v>
      </x:c>
      <x:c r="AD15" s="487">
        <x:f t="shared" si="6"/>
        <x:v>0</x:v>
      </x:c>
      <x:c r="AE15" s="487">
        <x:f t="shared" si="7"/>
        <x:v>0</x:v>
      </x:c>
      <x:c r="AF15" s="374" t="str">
        <x:f t="shared" si="8"/>
        <x:v/>
      </x:c>
      <x:c r="AG15" s="93"/>
      <x:c r="AH15" s="488">
        <x:f t="shared" si="9"/>
        <x:v>0</x:v>
      </x:c>
      <x:c r="AI15" s="487">
        <x:f t="shared" si="10"/>
        <x:v>0</x:v>
      </x:c>
      <x:c r="AJ15" s="487">
        <x:f t="shared" si="11"/>
        <x:v>0</x:v>
      </x:c>
      <x:c r="AK15" s="487">
        <x:f t="shared" si="12"/>
        <x:v>0</x:v>
      </x:c>
      <x:c r="AL15" s="374" t="str">
        <x:f t="shared" si="13"/>
        <x:v/>
      </x:c>
      <x:c r="AM15" s="92"/>
      <x:c r="AN15" s="221"/>
      <x:c r="AO15" s="374" t="str">
        <x:f>IF($AP15="","",IF($AN15="세입없음","OK",IF(OR($AP15="재원확인",$AN15=""),"@@",IF(COUNTIF('3. 일입'!$AK$8:$AK$2000,$AN15),"OK","@@"))))</x:f>
        <x:v/>
      </x:c>
      <x:c r="AP15" s="356" t="str">
        <x:f t="shared" si="14"/>
        <x:v/>
      </x:c>
      <x:c r="AQ15" s="374" t="str">
        <x:f>IF(AND($AN15="",$AP15=""),"",IF(AND($AN15&lt;&gt;"",$AP15&lt;&gt;""),IF(AN15="세입없음","OK",IF(VLOOKUP($AN15,'3. 일입'!$AK$7:$AL$2000,2,FALSE)=$AP15,"OK","@@")),"@@"))</x:f>
        <x:v/>
      </x:c>
      <x:c r="AR15" s="93"/>
      <x:c r="AS15" s="533"/>
      <x:c r="AT15" s="374" t="str">
        <x:f>IF($AS15="","",IF($AS15="세입없음","OK",IF(COUNTIF('3. 일입'!$AN$8:$AN$2000,$AS15),"OK","@@")))</x:f>
        <x:v/>
      </x:c>
      <x:c r="AU15" s="356" t="str">
        <x:f t="shared" si="15"/>
        <x:v/>
      </x:c>
      <x:c r="AV15" s="374" t="str">
        <x:f t="shared" si="16"/>
        <x:v/>
      </x:c>
      <x:c r="AW15" s="93"/>
      <x:c r="AX15" s="348"/>
      <x:c r="AY15" s="29"/>
    </x:row>
    <x:row r="16" spans="1:51" s="20" customFormat="1" ht="80.099999999999994" customHeight="1">
      <x:c r="A16" s="155" t="str">
        <x:f>IF(D16="","",COUNTA($C$7:C16)-COUNTBLANK($C$7:C16)+1)</x:f>
        <x:v/>
      </x:c>
      <x:c r="B16" s="156" t="str">
        <x: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x:f>
        <x:v/>
      </x:c>
      <x:c r="C16" s="156" t="str">
        <x:f>IF(D16="","",IF(OR(D16="교육지원과",D16="총무과",D16="인사과"),"직접입력",VLOOKUP(D16,구분표!$A$3:$C$258,3,)))</x:f>
        <x:v/>
      </x:c>
      <x:c r="D16" s="219"/>
      <x:c r="E16" s="213"/>
      <x:c r="F16" s="388" t="str">
        <x:f t="shared" si="17"/>
        <x:v/>
      </x:c>
      <x:c r="G16" s="388" t="str">
        <x:f t="shared" si="17"/>
        <x:v/>
      </x:c>
      <x:c r="H16" s="213"/>
      <x:c r="I16" s="156" t="str">
        <x:f>IF(H16="","",VLOOKUP($H16,구분표!$K$3:$M$151,2,FALSE))</x:f>
        <x:v/>
      </x:c>
      <x:c r="J16" s="156" t="str">
        <x:f>IF(I16="","",VLOOKUP($H16,구분표!$K$3:$M$151,3,FALSE))</x:f>
        <x:v/>
      </x:c>
      <x:c r="K16" s="233"/>
      <x:c r="L16" s="233"/>
      <x:c r="M16" s="459" t="str">
        <x:f t="shared" si="18"/>
        <x:v/>
      </x:c>
      <x:c r="N16" s="459" t="str">
        <x:f t="shared" si="19"/>
        <x:v/>
      </x:c>
      <x:c r="O16" s="461" t="str">
        <x:f t="shared" si="20"/>
        <x:v/>
      </x:c>
      <x:c r="P16" s="460"/>
      <x:c r="Q16" s="461">
        <x:f t="shared" si="21"/>
        <x:v>0</x:v>
      </x:c>
      <x:c r="R16" s="462"/>
      <x:c r="S16" s="463">
        <x:f t="shared" si="22"/>
        <x:v>0</x:v>
      </x:c>
      <x:c r="T16" s="162" t="str">
        <x:f t="shared" si="23"/>
        <x:v>X</x:v>
      </x:c>
      <x:c r="U16" s="552"/>
      <x:c r="V16" s="331"/>
      <x:c r="W16" s="221"/>
      <x:c r="X16" s="223"/>
      <x:c r="Y16" s="334"/>
      <x:c r="Z16" s="334"/>
      <x:c r="AA16" s="29"/>
      <x:c r="AB16" s="486">
        <x:f t="shared" si="5"/>
        <x:v>0</x:v>
      </x:c>
      <x:c r="AC16" s="487">
        <x:f t="shared" si="24"/>
        <x:v>0</x:v>
      </x:c>
      <x:c r="AD16" s="487">
        <x:f t="shared" si="6"/>
        <x:v>0</x:v>
      </x:c>
      <x:c r="AE16" s="487">
        <x:f t="shared" si="7"/>
        <x:v>0</x:v>
      </x:c>
      <x:c r="AF16" s="374" t="str">
        <x:f t="shared" si="8"/>
        <x:v/>
      </x:c>
      <x:c r="AG16" s="93"/>
      <x:c r="AH16" s="488">
        <x:f t="shared" si="9"/>
        <x:v>0</x:v>
      </x:c>
      <x:c r="AI16" s="487">
        <x:f t="shared" si="10"/>
        <x:v>0</x:v>
      </x:c>
      <x:c r="AJ16" s="487">
        <x:f t="shared" si="11"/>
        <x:v>0</x:v>
      </x:c>
      <x:c r="AK16" s="487">
        <x:f t="shared" si="12"/>
        <x:v>0</x:v>
      </x:c>
      <x:c r="AL16" s="374" t="str">
        <x:f t="shared" si="13"/>
        <x:v/>
      </x:c>
      <x:c r="AM16" s="92"/>
      <x:c r="AN16" s="221"/>
      <x:c r="AO16" s="374" t="str">
        <x:f>IF($AP16="","",IF($AN16="세입없음","OK",IF(OR($AP16="재원확인",$AN16=""),"@@",IF(COUNTIF('3. 일입'!$AK$8:$AK$2000,$AN16),"OK","@@"))))</x:f>
        <x:v/>
      </x:c>
      <x:c r="AP16" s="356" t="str">
        <x:f t="shared" si="14"/>
        <x:v/>
      </x:c>
      <x:c r="AQ16" s="374" t="str">
        <x:f>IF(AND($AN16="",$AP16=""),"",IF(AND($AN16&lt;&gt;"",$AP16&lt;&gt;""),IF(AN16="세입없음","OK",IF(VLOOKUP($AN16,'3. 일입'!$AK$7:$AL$2000,2,FALSE)=$AP16,"OK","@@")),"@@"))</x:f>
        <x:v/>
      </x:c>
      <x:c r="AR16" s="93"/>
      <x:c r="AS16" s="533"/>
      <x:c r="AT16" s="374" t="str">
        <x:f>IF($AS16="","",IF($AS16="세입없음","OK",IF(COUNTIF('3. 일입'!$AN$8:$AN$2000,$AS16),"OK","@@")))</x:f>
        <x:v/>
      </x:c>
      <x:c r="AU16" s="356" t="str">
        <x:f t="shared" si="15"/>
        <x:v/>
      </x:c>
      <x:c r="AV16" s="374" t="str">
        <x:f t="shared" si="16"/>
        <x:v/>
      </x:c>
      <x:c r="AW16" s="93"/>
      <x:c r="AX16" s="348"/>
      <x:c r="AY16" s="29"/>
    </x:row>
    <x:row r="17" spans="1:51" s="20" customFormat="1" ht="80.099999999999994" customHeight="1">
      <x:c r="A17" s="155" t="str">
        <x:f>IF(D17="","",COUNTA($C$7:C17)-COUNTBLANK($C$7:C17)+1)</x:f>
        <x:v/>
      </x:c>
      <x:c r="B17" s="156" t="str">
        <x: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x:f>
        <x:v/>
      </x:c>
      <x:c r="C17" s="156" t="str">
        <x:f>IF(D17="","",IF(OR(D17="교육지원과",D17="총무과",D17="인사과"),"직접입력",VLOOKUP(D17,구분표!$A$3:$C$258,3,)))</x:f>
        <x:v/>
      </x:c>
      <x:c r="D17" s="219"/>
      <x:c r="E17" s="213"/>
      <x:c r="F17" s="388" t="str">
        <x:f t="shared" si="17"/>
        <x:v/>
      </x:c>
      <x:c r="G17" s="388" t="str">
        <x:f t="shared" si="17"/>
        <x:v/>
      </x:c>
      <x:c r="H17" s="213"/>
      <x:c r="I17" s="156" t="str">
        <x:f>IF(H17="","",VLOOKUP($H17,구분표!$K$3:$M$151,2,FALSE))</x:f>
        <x:v/>
      </x:c>
      <x:c r="J17" s="156" t="str">
        <x:f>IF(I17="","",VLOOKUP($H17,구분표!$K$3:$M$151,3,FALSE))</x:f>
        <x:v/>
      </x:c>
      <x:c r="K17" s="233"/>
      <x:c r="L17" s="233"/>
      <x:c r="M17" s="459" t="str">
        <x:f t="shared" si="18"/>
        <x:v/>
      </x:c>
      <x:c r="N17" s="459" t="str">
        <x:f t="shared" si="19"/>
        <x:v/>
      </x:c>
      <x:c r="O17" s="461" t="str">
        <x:f t="shared" si="20"/>
        <x:v/>
      </x:c>
      <x:c r="P17" s="460"/>
      <x:c r="Q17" s="461">
        <x:f t="shared" si="21"/>
        <x:v>0</x:v>
      </x:c>
      <x:c r="R17" s="462"/>
      <x:c r="S17" s="463">
        <x:f t="shared" si="22"/>
        <x:v>0</x:v>
      </x:c>
      <x:c r="T17" s="162" t="str">
        <x:f t="shared" si="23"/>
        <x:v>X</x:v>
      </x:c>
      <x:c r="U17" s="552"/>
      <x:c r="V17" s="331"/>
      <x:c r="W17" s="221"/>
      <x:c r="X17" s="223"/>
      <x:c r="Y17" s="334"/>
      <x:c r="Z17" s="334"/>
      <x:c r="AA17" s="29"/>
      <x:c r="AB17" s="486">
        <x:f t="shared" si="5"/>
        <x:v>0</x:v>
      </x:c>
      <x:c r="AC17" s="487">
        <x:f t="shared" si="24"/>
        <x:v>0</x:v>
      </x:c>
      <x:c r="AD17" s="487">
        <x:f t="shared" si="6"/>
        <x:v>0</x:v>
      </x:c>
      <x:c r="AE17" s="487">
        <x:f t="shared" si="7"/>
        <x:v>0</x:v>
      </x:c>
      <x:c r="AF17" s="374" t="str">
        <x:f t="shared" si="8"/>
        <x:v/>
      </x:c>
      <x:c r="AG17" s="93"/>
      <x:c r="AH17" s="488">
        <x:f t="shared" si="9"/>
        <x:v>0</x:v>
      </x:c>
      <x:c r="AI17" s="487">
        <x:f t="shared" si="10"/>
        <x:v>0</x:v>
      </x:c>
      <x:c r="AJ17" s="487">
        <x:f t="shared" si="11"/>
        <x:v>0</x:v>
      </x:c>
      <x:c r="AK17" s="487">
        <x:f t="shared" si="12"/>
        <x:v>0</x:v>
      </x:c>
      <x:c r="AL17" s="374" t="str">
        <x:f t="shared" si="13"/>
        <x:v/>
      </x:c>
      <x:c r="AM17" s="92"/>
      <x:c r="AN17" s="221"/>
      <x:c r="AO17" s="374" t="str">
        <x:f>IF($AP17="","",IF($AN17="세입없음","OK",IF(OR($AP17="재원확인",$AN17=""),"@@",IF(COUNTIF('3. 일입'!$AK$8:$AK$2000,$AN17),"OK","@@"))))</x:f>
        <x:v/>
      </x:c>
      <x:c r="AP17" s="356" t="str">
        <x:f t="shared" si="14"/>
        <x:v/>
      </x:c>
      <x:c r="AQ17" s="374" t="str">
        <x:f>IF(AND($AN17="",$AP17=""),"",IF(AND($AN17&lt;&gt;"",$AP17&lt;&gt;""),IF(AN17="세입없음","OK",IF(VLOOKUP($AN17,'3. 일입'!$AK$7:$AL$2000,2,FALSE)=$AP17,"OK","@@")),"@@"))</x:f>
        <x:v/>
      </x:c>
      <x:c r="AR17" s="93"/>
      <x:c r="AS17" s="533"/>
      <x:c r="AT17" s="374" t="str">
        <x:f>IF($AS17="","",IF($AS17="세입없음","OK",IF(COUNTIF('3. 일입'!$AN$8:$AN$2000,$AS17),"OK","@@")))</x:f>
        <x:v/>
      </x:c>
      <x:c r="AU17" s="356" t="str">
        <x:f t="shared" si="15"/>
        <x:v/>
      </x:c>
      <x:c r="AV17" s="374" t="str">
        <x:f t="shared" si="16"/>
        <x:v/>
      </x:c>
      <x:c r="AW17" s="93"/>
      <x:c r="AX17" s="348"/>
      <x:c r="AY17" s="29"/>
    </x:row>
    <x:row r="18" spans="1:51" s="20" customFormat="1" ht="80.099999999999994" customHeight="1">
      <x:c r="A18" s="155" t="str">
        <x:f>IF(D18="","",COUNTA($C$7:C18)-COUNTBLANK($C$7:C18)+1)</x:f>
        <x:v/>
      </x:c>
      <x:c r="B18" s="156" t="str">
        <x: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x:f>
        <x:v/>
      </x:c>
      <x:c r="C18" s="156" t="str">
        <x:f>IF(D18="","",IF(OR(D18="교육지원과",D18="총무과",D18="인사과"),"직접입력",VLOOKUP(D18,구분표!$A$3:$C$258,3,)))</x:f>
        <x:v/>
      </x:c>
      <x:c r="D18" s="219"/>
      <x:c r="E18" s="213"/>
      <x:c r="F18" s="388" t="str">
        <x:f t="shared" si="17"/>
        <x:v/>
      </x:c>
      <x:c r="G18" s="388" t="str">
        <x:f t="shared" si="17"/>
        <x:v/>
      </x:c>
      <x:c r="H18" s="213"/>
      <x:c r="I18" s="156" t="str">
        <x:f>IF(H18="","",VLOOKUP($H18,구분표!$K$3:$M$151,2,FALSE))</x:f>
        <x:v/>
      </x:c>
      <x:c r="J18" s="156" t="str">
        <x:f>IF(I18="","",VLOOKUP($H18,구분표!$K$3:$M$151,3,FALSE))</x:f>
        <x:v/>
      </x:c>
      <x:c r="K18" s="233"/>
      <x:c r="L18" s="233"/>
      <x:c r="M18" s="459" t="str">
        <x:f t="shared" si="18"/>
        <x:v/>
      </x:c>
      <x:c r="N18" s="459" t="str">
        <x:f t="shared" si="19"/>
        <x:v/>
      </x:c>
      <x:c r="O18" s="461" t="str">
        <x:f t="shared" si="20"/>
        <x:v/>
      </x:c>
      <x:c r="P18" s="460"/>
      <x:c r="Q18" s="461">
        <x:f t="shared" si="21"/>
        <x:v>0</x:v>
      </x:c>
      <x:c r="R18" s="462"/>
      <x:c r="S18" s="463">
        <x:f t="shared" si="22"/>
        <x:v>0</x:v>
      </x:c>
      <x:c r="T18" s="162" t="str">
        <x:f t="shared" si="23"/>
        <x:v>X</x:v>
      </x:c>
      <x:c r="U18" s="552"/>
      <x:c r="V18" s="331"/>
      <x:c r="W18" s="221"/>
      <x:c r="X18" s="223"/>
      <x:c r="Y18" s="334"/>
      <x:c r="Z18" s="334"/>
      <x:c r="AA18" s="29"/>
      <x:c r="AB18" s="486">
        <x:f t="shared" si="5"/>
        <x:v>0</x:v>
      </x:c>
      <x:c r="AC18" s="487">
        <x:f t="shared" si="24"/>
        <x:v>0</x:v>
      </x:c>
      <x:c r="AD18" s="487">
        <x:f t="shared" si="6"/>
        <x:v>0</x:v>
      </x:c>
      <x:c r="AE18" s="487">
        <x:f t="shared" si="7"/>
        <x:v>0</x:v>
      </x:c>
      <x:c r="AF18" s="374" t="str">
        <x:f t="shared" si="8"/>
        <x:v/>
      </x:c>
      <x:c r="AG18" s="93"/>
      <x:c r="AH18" s="488">
        <x:f t="shared" si="9"/>
        <x:v>0</x:v>
      </x:c>
      <x:c r="AI18" s="487">
        <x:f t="shared" si="10"/>
        <x:v>0</x:v>
      </x:c>
      <x:c r="AJ18" s="487">
        <x:f t="shared" si="11"/>
        <x:v>0</x:v>
      </x:c>
      <x:c r="AK18" s="487">
        <x:f t="shared" si="12"/>
        <x:v>0</x:v>
      </x:c>
      <x:c r="AL18" s="374" t="str">
        <x:f t="shared" si="13"/>
        <x:v/>
      </x:c>
      <x:c r="AM18" s="92"/>
      <x:c r="AN18" s="221"/>
      <x:c r="AO18" s="374" t="str">
        <x:f>IF($AP18="","",IF($AN18="세입없음","OK",IF(OR($AP18="재원확인",$AN18=""),"@@",IF(COUNTIF('3. 일입'!$AK$8:$AK$2000,$AN18),"OK","@@"))))</x:f>
        <x:v/>
      </x:c>
      <x:c r="AP18" s="356" t="str">
        <x:f t="shared" si="14"/>
        <x:v/>
      </x:c>
      <x:c r="AQ18" s="374" t="str">
        <x:f>IF(AND($AN18="",$AP18=""),"",IF(AND($AN18&lt;&gt;"",$AP18&lt;&gt;""),IF(AN18="세입없음","OK",IF(VLOOKUP($AN18,'3. 일입'!$AK$7:$AL$2000,2,FALSE)=$AP18,"OK","@@")),"@@"))</x:f>
        <x:v/>
      </x:c>
      <x:c r="AR18" s="93"/>
      <x:c r="AS18" s="533"/>
      <x:c r="AT18" s="374" t="str">
        <x:f>IF($AS18="","",IF($AS18="세입없음","OK",IF(COUNTIF('3. 일입'!$AN$8:$AN$2000,$AS18),"OK","@@")))</x:f>
        <x:v/>
      </x:c>
      <x:c r="AU18" s="356" t="str">
        <x:f t="shared" si="15"/>
        <x:v/>
      </x:c>
      <x:c r="AV18" s="374" t="str">
        <x:f t="shared" si="16"/>
        <x:v/>
      </x:c>
      <x:c r="AW18" s="93"/>
      <x:c r="AX18" s="348"/>
      <x:c r="AY18" s="29"/>
    </x:row>
    <x:row r="19" spans="1:51" s="20" customFormat="1" ht="80.099999999999994" customHeight="1">
      <x:c r="A19" s="155" t="str">
        <x:f>IF(D19="","",COUNTA($C$7:C19)-COUNTBLANK($C$7:C19)+1)</x:f>
        <x:v/>
      </x:c>
      <x:c r="B19" s="156" t="str">
        <x: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x:f>
        <x:v/>
      </x:c>
      <x:c r="C19" s="156" t="str">
        <x:f>IF(D19="","",IF(OR(D19="교육지원과",D19="총무과",D19="인사과"),"직접입력",VLOOKUP(D19,구분표!$A$3:$C$258,3,)))</x:f>
        <x:v/>
      </x:c>
      <x:c r="D19" s="219"/>
      <x:c r="E19" s="213"/>
      <x:c r="F19" s="388" t="str">
        <x:f t="shared" si="17"/>
        <x:v/>
      </x:c>
      <x:c r="G19" s="388" t="str">
        <x:f t="shared" si="17"/>
        <x:v/>
      </x:c>
      <x:c r="H19" s="213"/>
      <x:c r="I19" s="156" t="str">
        <x:f>IF(H19="","",VLOOKUP($H19,구분표!$K$3:$M$151,2,FALSE))</x:f>
        <x:v/>
      </x:c>
      <x:c r="J19" s="156" t="str">
        <x:f>IF(I19="","",VLOOKUP($H19,구분표!$K$3:$M$151,3,FALSE))</x:f>
        <x:v/>
      </x:c>
      <x:c r="K19" s="233"/>
      <x:c r="L19" s="233"/>
      <x:c r="M19" s="459" t="str">
        <x:f t="shared" si="18"/>
        <x:v/>
      </x:c>
      <x:c r="N19" s="459" t="str">
        <x:f t="shared" si="19"/>
        <x:v/>
      </x:c>
      <x:c r="O19" s="461" t="str">
        <x:f t="shared" si="20"/>
        <x:v/>
      </x:c>
      <x:c r="P19" s="460"/>
      <x:c r="Q19" s="461">
        <x:f t="shared" si="21"/>
        <x:v>0</x:v>
      </x:c>
      <x:c r="R19" s="462"/>
      <x:c r="S19" s="463">
        <x:f t="shared" si="22"/>
        <x:v>0</x:v>
      </x:c>
      <x:c r="T19" s="162" t="str">
        <x:f t="shared" si="23"/>
        <x:v>X</x:v>
      </x:c>
      <x:c r="U19" s="552"/>
      <x:c r="V19" s="331"/>
      <x:c r="W19" s="221"/>
      <x:c r="X19" s="223"/>
      <x:c r="Y19" s="334"/>
      <x:c r="Z19" s="334"/>
      <x:c r="AA19" s="29"/>
      <x:c r="AB19" s="486">
        <x:f t="shared" si="5"/>
        <x:v>0</x:v>
      </x:c>
      <x:c r="AC19" s="487">
        <x:f t="shared" si="24"/>
        <x:v>0</x:v>
      </x:c>
      <x:c r="AD19" s="487">
        <x:f t="shared" si="6"/>
        <x:v>0</x:v>
      </x:c>
      <x:c r="AE19" s="487">
        <x:f t="shared" si="7"/>
        <x:v>0</x:v>
      </x:c>
      <x:c r="AF19" s="374" t="str">
        <x:f t="shared" si="8"/>
        <x:v/>
      </x:c>
      <x:c r="AG19" s="93"/>
      <x:c r="AH19" s="488">
        <x:f t="shared" si="9"/>
        <x:v>0</x:v>
      </x:c>
      <x:c r="AI19" s="487">
        <x:f t="shared" si="10"/>
        <x:v>0</x:v>
      </x:c>
      <x:c r="AJ19" s="487">
        <x:f t="shared" si="11"/>
        <x:v>0</x:v>
      </x:c>
      <x:c r="AK19" s="487">
        <x:f t="shared" si="12"/>
        <x:v>0</x:v>
      </x:c>
      <x:c r="AL19" s="374" t="str">
        <x:f t="shared" si="13"/>
        <x:v/>
      </x:c>
      <x:c r="AM19" s="92"/>
      <x:c r="AN19" s="221"/>
      <x:c r="AO19" s="374" t="str">
        <x:f>IF($AP19="","",IF($AN19="세입없음","OK",IF(OR($AP19="재원확인",$AN19=""),"@@",IF(COUNTIF('3. 일입'!$AK$8:$AK$2000,$AN19),"OK","@@"))))</x:f>
        <x:v/>
      </x:c>
      <x:c r="AP19" s="356" t="str">
        <x:f t="shared" si="14"/>
        <x:v/>
      </x:c>
      <x:c r="AQ19" s="374" t="str">
        <x:f>IF(AND($AN19="",$AP19=""),"",IF(AND($AN19&lt;&gt;"",$AP19&lt;&gt;""),IF(AN19="세입없음","OK",IF(VLOOKUP($AN19,'3. 일입'!$AK$7:$AL$2000,2,FALSE)=$AP19,"OK","@@")),"@@"))</x:f>
        <x:v/>
      </x:c>
      <x:c r="AR19" s="93"/>
      <x:c r="AS19" s="533"/>
      <x:c r="AT19" s="374" t="str">
        <x:f>IF($AS19="","",IF($AS19="세입없음","OK",IF(COUNTIF('3. 일입'!$AN$8:$AN$2000,$AS19),"OK","@@")))</x:f>
        <x:v/>
      </x:c>
      <x:c r="AU19" s="356" t="str">
        <x:f t="shared" si="15"/>
        <x:v/>
      </x:c>
      <x:c r="AV19" s="374" t="str">
        <x:f t="shared" si="16"/>
        <x:v/>
      </x:c>
      <x:c r="AW19" s="93"/>
      <x:c r="AX19" s="348"/>
      <x:c r="AY19" s="29"/>
    </x:row>
    <x:row r="20" spans="1:51" s="20" customFormat="1" ht="80.099999999999994" customHeight="1">
      <x:c r="A20" s="155" t="str">
        <x:f>IF(D20="","",COUNTA($C$7:C20)-COUNTBLANK($C$7:C20)+1)</x:f>
        <x:v/>
      </x:c>
      <x:c r="B20" s="156" t="str">
        <x: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x:f>
        <x:v/>
      </x:c>
      <x:c r="C20" s="156" t="str">
        <x:f>IF(D20="","",IF(OR(D20="교육지원과",D20="총무과",D20="인사과"),"직접입력",VLOOKUP(D20,구분표!$A$3:$C$258,3,)))</x:f>
        <x:v/>
      </x:c>
      <x:c r="D20" s="219"/>
      <x:c r="E20" s="213"/>
      <x:c r="F20" s="388" t="str">
        <x:f t="shared" si="17"/>
        <x:v/>
      </x:c>
      <x:c r="G20" s="388" t="str">
        <x:f t="shared" si="17"/>
        <x:v/>
      </x:c>
      <x:c r="H20" s="213"/>
      <x:c r="I20" s="156" t="str">
        <x:f>IF(H20="","",VLOOKUP($H20,구분표!$K$3:$M$151,2,FALSE))</x:f>
        <x:v/>
      </x:c>
      <x:c r="J20" s="156" t="str">
        <x:f>IF(I20="","",VLOOKUP($H20,구분표!$K$3:$M$151,3,FALSE))</x:f>
        <x:v/>
      </x:c>
      <x:c r="K20" s="233"/>
      <x:c r="L20" s="233"/>
      <x:c r="M20" s="459" t="str">
        <x:f t="shared" si="18"/>
        <x:v/>
      </x:c>
      <x:c r="N20" s="459" t="str">
        <x:f t="shared" si="19"/>
        <x:v/>
      </x:c>
      <x:c r="O20" s="461" t="str">
        <x:f t="shared" si="20"/>
        <x:v/>
      </x:c>
      <x:c r="P20" s="460"/>
      <x:c r="Q20" s="461">
        <x:f t="shared" si="21"/>
        <x:v>0</x:v>
      </x:c>
      <x:c r="R20" s="462"/>
      <x:c r="S20" s="463">
        <x:f t="shared" si="22"/>
        <x:v>0</x:v>
      </x:c>
      <x:c r="T20" s="162" t="str">
        <x:f t="shared" si="23"/>
        <x:v>X</x:v>
      </x:c>
      <x:c r="U20" s="552"/>
      <x:c r="V20" s="331"/>
      <x:c r="W20" s="221"/>
      <x:c r="X20" s="223"/>
      <x:c r="Y20" s="334"/>
      <x:c r="Z20" s="334"/>
      <x:c r="AA20" s="29"/>
      <x:c r="AB20" s="486">
        <x:f t="shared" si="5"/>
        <x:v>0</x:v>
      </x:c>
      <x:c r="AC20" s="487">
        <x:f t="shared" si="24"/>
        <x:v>0</x:v>
      </x:c>
      <x:c r="AD20" s="487">
        <x:f t="shared" si="6"/>
        <x:v>0</x:v>
      </x:c>
      <x:c r="AE20" s="487">
        <x:f t="shared" si="7"/>
        <x:v>0</x:v>
      </x:c>
      <x:c r="AF20" s="374" t="str">
        <x:f t="shared" si="8"/>
        <x:v/>
      </x:c>
      <x:c r="AG20" s="93"/>
      <x:c r="AH20" s="488">
        <x:f t="shared" si="9"/>
        <x:v>0</x:v>
      </x:c>
      <x:c r="AI20" s="487">
        <x:f t="shared" si="10"/>
        <x:v>0</x:v>
      </x:c>
      <x:c r="AJ20" s="487">
        <x:f t="shared" si="11"/>
        <x:v>0</x:v>
      </x:c>
      <x:c r="AK20" s="487">
        <x:f t="shared" si="12"/>
        <x:v>0</x:v>
      </x:c>
      <x:c r="AL20" s="374" t="str">
        <x:f t="shared" si="13"/>
        <x:v/>
      </x:c>
      <x:c r="AM20" s="92"/>
      <x:c r="AN20" s="221"/>
      <x:c r="AO20" s="374" t="str">
        <x:f>IF($AP20="","",IF($AN20="세입없음","OK",IF(OR($AP20="재원확인",$AN20=""),"@@",IF(COUNTIF('3. 일입'!$AK$8:$AK$2000,$AN20),"OK","@@"))))</x:f>
        <x:v/>
      </x:c>
      <x:c r="AP20" s="356" t="str">
        <x:f t="shared" si="14"/>
        <x:v/>
      </x:c>
      <x:c r="AQ20" s="374" t="str">
        <x:f>IF(AND($AN20="",$AP20=""),"",IF(AND($AN20&lt;&gt;"",$AP20&lt;&gt;""),IF(AN20="세입없음","OK",IF(VLOOKUP($AN20,'3. 일입'!$AK$7:$AL$2000,2,FALSE)=$AP20,"OK","@@")),"@@"))</x:f>
        <x:v/>
      </x:c>
      <x:c r="AR20" s="93"/>
      <x:c r="AS20" s="533"/>
      <x:c r="AT20" s="374" t="str">
        <x:f>IF($AS20="","",IF($AS20="세입없음","OK",IF(COUNTIF('3. 일입'!$AN$8:$AN$2000,$AS20),"OK","@@")))</x:f>
        <x:v/>
      </x:c>
      <x:c r="AU20" s="356" t="str">
        <x:f t="shared" si="15"/>
        <x:v/>
      </x:c>
      <x:c r="AV20" s="374" t="str">
        <x:f t="shared" si="16"/>
        <x:v/>
      </x:c>
      <x:c r="AW20" s="93"/>
      <x:c r="AX20" s="348"/>
      <x:c r="AY20" s="29"/>
    </x:row>
    <x:row r="21" spans="1:51" s="20" customFormat="1" ht="80.099999999999994" customHeight="1">
      <x:c r="A21" s="155" t="str">
        <x:f>IF(D21="","",COUNTA($C$7:C21)-COUNTBLANK($C$7:C21)+1)</x:f>
        <x:v/>
      </x:c>
      <x:c r="B21" s="156" t="str">
        <x: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x:f>
        <x:v/>
      </x:c>
      <x:c r="C21" s="156" t="str">
        <x:f>IF(D21="","",IF(OR(D21="교육지원과",D21="총무과",D21="인사과"),"직접입력",VLOOKUP(D21,구분표!$A$3:$C$258,3,)))</x:f>
        <x:v/>
      </x:c>
      <x:c r="D21" s="219"/>
      <x:c r="E21" s="213"/>
      <x:c r="F21" s="388" t="str">
        <x:f t="shared" si="17"/>
        <x:v/>
      </x:c>
      <x:c r="G21" s="388" t="str">
        <x:f t="shared" si="17"/>
        <x:v/>
      </x:c>
      <x:c r="H21" s="213"/>
      <x:c r="I21" s="156" t="str">
        <x:f>IF(H21="","",VLOOKUP($H21,구분표!$K$3:$M$151,2,FALSE))</x:f>
        <x:v/>
      </x:c>
      <x:c r="J21" s="156" t="str">
        <x:f>IF(I21="","",VLOOKUP($H21,구분표!$K$3:$M$151,3,FALSE))</x:f>
        <x:v/>
      </x:c>
      <x:c r="K21" s="233"/>
      <x:c r="L21" s="233"/>
      <x:c r="M21" s="459" t="str">
        <x:f t="shared" si="18"/>
        <x:v/>
      </x:c>
      <x:c r="N21" s="459" t="str">
        <x:f t="shared" si="19"/>
        <x:v/>
      </x:c>
      <x:c r="O21" s="461" t="str">
        <x:f t="shared" si="20"/>
        <x:v/>
      </x:c>
      <x:c r="P21" s="460"/>
      <x:c r="Q21" s="461">
        <x:f t="shared" si="21"/>
        <x:v>0</x:v>
      </x:c>
      <x:c r="R21" s="462"/>
      <x:c r="S21" s="463">
        <x:f t="shared" si="22"/>
        <x:v>0</x:v>
      </x:c>
      <x:c r="T21" s="162" t="str">
        <x:f t="shared" si="23"/>
        <x:v>X</x:v>
      </x:c>
      <x:c r="U21" s="552"/>
      <x:c r="V21" s="331"/>
      <x:c r="W21" s="221"/>
      <x:c r="X21" s="223"/>
      <x:c r="Y21" s="334"/>
      <x:c r="Z21" s="334"/>
      <x:c r="AA21" s="29"/>
      <x:c r="AB21" s="486">
        <x:f t="shared" si="5"/>
        <x:v>0</x:v>
      </x:c>
      <x:c r="AC21" s="487">
        <x:f t="shared" si="24"/>
        <x:v>0</x:v>
      </x:c>
      <x:c r="AD21" s="487">
        <x:f t="shared" si="6"/>
        <x:v>0</x:v>
      </x:c>
      <x:c r="AE21" s="487">
        <x:f t="shared" si="7"/>
        <x:v>0</x:v>
      </x:c>
      <x:c r="AF21" s="374" t="str">
        <x:f t="shared" si="8"/>
        <x:v/>
      </x:c>
      <x:c r="AG21" s="93"/>
      <x:c r="AH21" s="488">
        <x:f t="shared" si="9"/>
        <x:v>0</x:v>
      </x:c>
      <x:c r="AI21" s="487">
        <x:f t="shared" si="10"/>
        <x:v>0</x:v>
      </x:c>
      <x:c r="AJ21" s="487">
        <x:f t="shared" si="11"/>
        <x:v>0</x:v>
      </x:c>
      <x:c r="AK21" s="487">
        <x:f t="shared" si="12"/>
        <x:v>0</x:v>
      </x:c>
      <x:c r="AL21" s="374" t="str">
        <x:f t="shared" si="13"/>
        <x:v/>
      </x:c>
      <x:c r="AM21" s="92"/>
      <x:c r="AN21" s="221"/>
      <x:c r="AO21" s="374" t="str">
        <x:f>IF($AP21="","",IF($AN21="세입없음","OK",IF(OR($AP21="재원확인",$AN21=""),"@@",IF(COUNTIF('3. 일입'!$AK$8:$AK$2000,$AN21),"OK","@@"))))</x:f>
        <x:v/>
      </x:c>
      <x:c r="AP21" s="356" t="str">
        <x:f t="shared" si="14"/>
        <x:v/>
      </x:c>
      <x:c r="AQ21" s="374" t="str">
        <x:f>IF(AND($AN21="",$AP21=""),"",IF(AND($AN21&lt;&gt;"",$AP21&lt;&gt;""),IF(AN21="세입없음","OK",IF(VLOOKUP($AN21,'3. 일입'!$AK$7:$AL$2000,2,FALSE)=$AP21,"OK","@@")),"@@"))</x:f>
        <x:v/>
      </x:c>
      <x:c r="AR21" s="93"/>
      <x:c r="AS21" s="533"/>
      <x:c r="AT21" s="374" t="str">
        <x:f>IF($AS21="","",IF($AS21="세입없음","OK",IF(COUNTIF('3. 일입'!$AN$8:$AN$2000,$AS21),"OK","@@")))</x:f>
        <x:v/>
      </x:c>
      <x:c r="AU21" s="356" t="str">
        <x:f t="shared" si="15"/>
        <x:v/>
      </x:c>
      <x:c r="AV21" s="374" t="str">
        <x:f t="shared" si="16"/>
        <x:v/>
      </x:c>
      <x:c r="AW21" s="93"/>
      <x:c r="AX21" s="348"/>
      <x:c r="AY21" s="29"/>
    </x:row>
    <x:row r="22" spans="1:51" s="20" customFormat="1" ht="80.099999999999994" customHeight="1">
      <x:c r="A22" s="155" t="str">
        <x:f>IF(D22="","",COUNTA($C$7:C22)-COUNTBLANK($C$7:C22)+1)</x:f>
        <x:v/>
      </x:c>
      <x:c r="B22" s="156" t="str">
        <x: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x:f>
        <x:v/>
      </x:c>
      <x:c r="C22" s="156" t="str">
        <x:f>IF(D22="","",IF(OR(D22="교육지원과",D22="총무과",D22="인사과"),"직접입력",VLOOKUP(D22,구분표!$A$3:$C$258,3,)))</x:f>
        <x:v/>
      </x:c>
      <x:c r="D22" s="219"/>
      <x:c r="E22" s="213"/>
      <x:c r="F22" s="388" t="str">
        <x:f t="shared" si="17"/>
        <x:v/>
      </x:c>
      <x:c r="G22" s="388" t="str">
        <x:f t="shared" si="17"/>
        <x:v/>
      </x:c>
      <x:c r="H22" s="213"/>
      <x:c r="I22" s="156" t="str">
        <x:f>IF(H22="","",VLOOKUP($H22,구분표!$K$3:$M$151,2,FALSE))</x:f>
        <x:v/>
      </x:c>
      <x:c r="J22" s="156" t="str">
        <x:f>IF(I22="","",VLOOKUP($H22,구분표!$K$3:$M$151,3,FALSE))</x:f>
        <x:v/>
      </x:c>
      <x:c r="K22" s="233"/>
      <x:c r="L22" s="233"/>
      <x:c r="M22" s="459" t="str">
        <x:f t="shared" si="18"/>
        <x:v/>
      </x:c>
      <x:c r="N22" s="459" t="str">
        <x:f t="shared" si="19"/>
        <x:v/>
      </x:c>
      <x:c r="O22" s="461" t="str">
        <x:f t="shared" si="20"/>
        <x:v/>
      </x:c>
      <x:c r="P22" s="460"/>
      <x:c r="Q22" s="461">
        <x:f t="shared" si="21"/>
        <x:v>0</x:v>
      </x:c>
      <x:c r="R22" s="462"/>
      <x:c r="S22" s="463">
        <x:f t="shared" si="22"/>
        <x:v>0</x:v>
      </x:c>
      <x:c r="T22" s="162" t="str">
        <x:f t="shared" si="23"/>
        <x:v>X</x:v>
      </x:c>
      <x:c r="U22" s="552"/>
      <x:c r="V22" s="331"/>
      <x:c r="W22" s="221"/>
      <x:c r="X22" s="223"/>
      <x:c r="Y22" s="334"/>
      <x:c r="Z22" s="334"/>
      <x:c r="AA22" s="29"/>
      <x:c r="AB22" s="486">
        <x:f t="shared" si="5"/>
        <x:v>0</x:v>
      </x:c>
      <x:c r="AC22" s="487">
        <x:f t="shared" si="24"/>
        <x:v>0</x:v>
      </x:c>
      <x:c r="AD22" s="487">
        <x:f t="shared" si="6"/>
        <x:v>0</x:v>
      </x:c>
      <x:c r="AE22" s="487">
        <x:f t="shared" si="7"/>
        <x:v>0</x:v>
      </x:c>
      <x:c r="AF22" s="374" t="str">
        <x:f t="shared" si="8"/>
        <x:v/>
      </x:c>
      <x:c r="AG22" s="93"/>
      <x:c r="AH22" s="488">
        <x:f t="shared" si="9"/>
        <x:v>0</x:v>
      </x:c>
      <x:c r="AI22" s="487">
        <x:f t="shared" si="10"/>
        <x:v>0</x:v>
      </x:c>
      <x:c r="AJ22" s="487">
        <x:f t="shared" si="11"/>
        <x:v>0</x:v>
      </x:c>
      <x:c r="AK22" s="487">
        <x:f t="shared" si="12"/>
        <x:v>0</x:v>
      </x:c>
      <x:c r="AL22" s="374" t="str">
        <x:f t="shared" si="13"/>
        <x:v/>
      </x:c>
      <x:c r="AM22" s="92"/>
      <x:c r="AN22" s="221"/>
      <x:c r="AO22" s="374" t="str">
        <x:f>IF($AP22="","",IF($AN22="세입없음","OK",IF(OR($AP22="재원확인",$AN22=""),"@@",IF(COUNTIF('3. 일입'!$AK$8:$AK$2000,$AN22),"OK","@@"))))</x:f>
        <x:v/>
      </x:c>
      <x:c r="AP22" s="356" t="str">
        <x:f t="shared" si="14"/>
        <x:v/>
      </x:c>
      <x:c r="AQ22" s="374" t="str">
        <x:f>IF(AND($AN22="",$AP22=""),"",IF(AND($AN22&lt;&gt;"",$AP22&lt;&gt;""),IF(AN22="세입없음","OK",IF(VLOOKUP($AN22,'3. 일입'!$AK$7:$AL$2000,2,FALSE)=$AP22,"OK","@@")),"@@"))</x:f>
        <x:v/>
      </x:c>
      <x:c r="AR22" s="93"/>
      <x:c r="AS22" s="533"/>
      <x:c r="AT22" s="374" t="str">
        <x:f>IF($AS22="","",IF($AS22="세입없음","OK",IF(COUNTIF('3. 일입'!$AN$8:$AN$2000,$AS22),"OK","@@")))</x:f>
        <x:v/>
      </x:c>
      <x:c r="AU22" s="356" t="str">
        <x:f t="shared" si="15"/>
        <x:v/>
      </x:c>
      <x:c r="AV22" s="374" t="str">
        <x:f t="shared" si="16"/>
        <x:v/>
      </x:c>
      <x:c r="AW22" s="93"/>
      <x:c r="AX22" s="348"/>
      <x:c r="AY22" s="29"/>
    </x:row>
    <x:row r="23" spans="1:51" s="345" customFormat="1" ht="60" customHeight="1">
      <x:c r="A23" s="337"/>
      <x:c r="B23" s="982" t="s">
        <x:v>1524</x:v>
      </x:c>
      <x:c r="C23" s="983"/>
      <x:c r="D23" s="983"/>
      <x:c r="E23" s="983"/>
      <x:c r="F23" s="983"/>
      <x:c r="G23" s="984"/>
      <x:c r="H23" s="338"/>
      <x:c r="I23" s="359"/>
      <x:c r="J23" s="359"/>
      <x:c r="K23" s="339"/>
      <x:c r="L23" s="340" t="str">
        <x:f>SUBTOTAL(3,$L24:$L38)&amp;"건"</x:f>
        <x:v>0건</x:v>
      </x:c>
      <x:c r="M23" s="476">
        <x:f t="shared" ref="M23:N23" si="25">SUBTOTAL(9,M24:M38)</x:f>
        <x:v>0</x:v>
      </x:c>
      <x:c r="N23" s="476">
        <x:f t="shared" si="25"/>
        <x:v>0</x:v>
      </x:c>
      <x:c r="O23" s="482">
        <x:f t="shared" ref="O23:S23" si="26">SUBTOTAL(9,O24:O38)</x:f>
        <x:v>0</x:v>
      </x:c>
      <x:c r="P23" s="482">
        <x:f t="shared" si="26"/>
        <x:v>0</x:v>
      </x:c>
      <x:c r="Q23" s="482">
        <x:f t="shared" si="26"/>
        <x:v>0</x:v>
      </x:c>
      <x:c r="R23" s="482">
        <x:f t="shared" si="26"/>
        <x:v>0</x:v>
      </x:c>
      <x:c r="S23" s="482">
        <x:f t="shared" si="26"/>
        <x:v>0</x:v>
      </x:c>
      <x:c r="T23" s="337"/>
      <x:c r="U23" s="551"/>
      <x:c r="V23" s="341"/>
      <x:c r="W23" s="342"/>
      <x:c r="X23" s="343"/>
      <x:c r="Y23" s="343"/>
      <x:c r="Z23" s="343"/>
      <x:c r="AA23" s="344"/>
      <x:c r="AB23" s="483">
        <x:f>SUBTOTAL(9,AB24:AB38)</x:f>
        <x:v>0</x:v>
      </x:c>
      <x:c r="AC23" s="483">
        <x:f>SUBTOTAL(9,AC24:AC38)</x:f>
        <x:v>0</x:v>
      </x:c>
      <x:c r="AD23" s="483">
        <x:f>SUBTOTAL(9,AD24:AD38)</x:f>
        <x:v>0</x:v>
      </x:c>
      <x:c r="AE23" s="483">
        <x:f>SUBTOTAL(9,AE24:AE38)</x:f>
        <x:v>0</x:v>
      </x:c>
      <x:c r="AF23" s="554" t="str">
        <x:f>IF(COUNTIF(AF24:AF38,"@@")&gt;0,"@@","OK")</x:f>
        <x:v>OK</x:v>
      </x:c>
      <x:c r="AG23" s="344"/>
      <x:c r="AH23" s="483">
        <x:f>SUBTOTAL(9,AH24:AH38)</x:f>
        <x:v>0</x:v>
      </x:c>
      <x:c r="AI23" s="483">
        <x:f>SUBTOTAL(9,AI24:AI38)</x:f>
        <x:v>0</x:v>
      </x:c>
      <x:c r="AJ23" s="483">
        <x:f>SUBTOTAL(9,AJ24:AJ38)</x:f>
        <x:v>0</x:v>
      </x:c>
      <x:c r="AK23" s="483">
        <x:f>SUBTOTAL(9,AK24:AK38)</x:f>
        <x:v>0</x:v>
      </x:c>
      <x:c r="AL23" s="554" t="str">
        <x:f>IF(COUNTIF(AL24:AL38,"@@")&gt;0,"@@","OK")</x:f>
        <x:v>OK</x:v>
      </x:c>
      <x:c r="AM23" s="344"/>
      <x:c r="AN23" s="343"/>
      <x:c r="AO23" s="554" t="str">
        <x:f>IF(COUNTIF(AO24:AO38,"@@")&gt;0,"@@","OK")</x:f>
        <x:v>OK</x:v>
      </x:c>
      <x:c r="AP23" s="343"/>
      <x:c r="AQ23" s="554" t="str">
        <x:f>IF(COUNTIF(AQ24:AQ38,"@@")&gt;0,"@@","OK")</x:f>
        <x:v>OK</x:v>
      </x:c>
      <x:c r="AR23" s="344"/>
      <x:c r="AS23" s="343"/>
      <x:c r="AT23" s="554" t="str">
        <x:f>IF(COUNTIF(AT24:AT38,"@@")&gt;0,"@@","OK")</x:f>
        <x:v>OK</x:v>
      </x:c>
      <x:c r="AU23" s="343"/>
      <x:c r="AV23" s="554" t="str">
        <x:f>IF(COUNTIF(AV24:AV38,"@@")&gt;0,"@@","OK")</x:f>
        <x:v>OK</x:v>
      </x:c>
      <x:c r="AW23" s="344"/>
      <x:c r="AX23" s="343"/>
      <x:c r="AY23" s="344"/>
    </x:row>
    <x:row r="24" spans="1:51" ht="80.099999999999994" customHeight="1">
      <x:c r="A24" s="155" t="str">
        <x:f>IF(D24="","",COUNTA($C$7:C24)-COUNTBLANK($C$7:C24)+2)</x:f>
        <x:v/>
      </x:c>
      <x:c r="B24" s="156" t="str">
        <x: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x:f>
        <x:v/>
      </x:c>
      <x:c r="C24" s="156" t="str">
        <x:f>IF(D24="","",IF(OR(D24="교육지원과",D24="총무과",D24="인사과"),"직접입력",VLOOKUP(D24,구분표!$A$3:$C$258,3,)))</x:f>
        <x:v/>
      </x:c>
      <x:c r="D24" s="219"/>
      <x:c r="E24" s="213"/>
      <x:c r="F24" s="388" t="str">
        <x:f>IF($E24="","",IF($E24="2추","직접입력","-"))</x:f>
        <x:v/>
      </x:c>
      <x:c r="G24" s="388" t="str">
        <x:f>IF($E24="","",IF($E24="2추","직접입력","-"))</x:f>
        <x:v/>
      </x:c>
      <x:c r="H24" s="213"/>
      <x:c r="I24" s="156" t="str">
        <x:f>IF(H24="","",VLOOKUP($H24,구분표!$K$3:$M$151,2,FALSE))</x:f>
        <x:v/>
      </x:c>
      <x:c r="J24" s="156" t="str">
        <x:f>IF(I24="","",VLOOKUP($H24,구분표!$K$3:$M$151,3,FALSE))</x:f>
        <x:v/>
      </x:c>
      <x:c r="K24" s="233"/>
      <x:c r="L24" s="233"/>
      <x:c r="M24" s="459" t="str">
        <x:f>IF($E24="","",IF(OR($E24="2추",$E24="1추",$E24="본예산"),"금액입력","-"))</x:f>
        <x:v/>
      </x:c>
      <x:c r="N24" s="459" t="str">
        <x:f>IF($E24="","",IF($E24="2추","금액입력","-"))</x:f>
        <x:v/>
      </x:c>
      <x:c r="O24" s="461" t="str">
        <x:f t="shared" ref="O24:O38" si="27">IF($E24="","",SUM(M24:N24))</x:f>
        <x:v/>
      </x:c>
      <x:c r="P24" s="460"/>
      <x:c r="Q24" s="461">
        <x:f t="shared" ref="Q24:Q38" si="28">SUM(O24:P24)</x:f>
        <x:v>0</x:v>
      </x:c>
      <x:c r="R24" s="462"/>
      <x:c r="S24" s="463">
        <x:f t="shared" ref="S24:S38" si="29">SUM(O24,R24)</x:f>
        <x:v>0</x:v>
      </x:c>
      <x:c r="T24" s="162" t="str">
        <x:f t="shared" ref="T24:T38" si="30">IF(AND((Q24=0),(S24&gt;0)),"O",IF(AND((P24&lt;0),(Q24-S24&lt;0)),"O","X"))</x:f>
        <x:v>X</x:v>
      </x:c>
      <x:c r="U24" s="552"/>
      <x:c r="V24" s="331"/>
      <x:c r="W24" s="221"/>
      <x:c r="X24" s="223"/>
      <x:c r="Y24" s="334"/>
      <x:c r="Z24" s="334"/>
      <x:c r="AA24" s="29"/>
      <x:c r="AB24" s="486">
        <x:f t="shared" si="5"/>
        <x:v>0</x:v>
      </x:c>
      <x:c r="AC24" s="487">
        <x:f t="shared" ref="AC24:AC38" si="31">IF($P24="",0,IF(AND(ISNUMBER($AB24),ISNUMBER(AD24),ISNUMBER(AE24)),$P24-$AB24-$AD24-$AE24,0))</x:f>
        <x:v>0</x:v>
      </x:c>
      <x:c r="AD24" s="487">
        <x:f t="shared" si="6"/>
        <x:v>0</x:v>
      </x:c>
      <x:c r="AE24" s="487">
        <x:f t="shared" si="7"/>
        <x:v>0</x:v>
      </x:c>
      <x:c r="AF24" s="374" t="str">
        <x:f t="shared" si="8"/>
        <x:v/>
      </x:c>
      <x:c r="AG24" s="93"/>
      <x:c r="AH24" s="488">
        <x:f t="shared" si="9"/>
        <x:v>0</x:v>
      </x:c>
      <x:c r="AI24" s="487">
        <x:f t="shared" si="10"/>
        <x:v>0</x:v>
      </x:c>
      <x:c r="AJ24" s="487">
        <x:f t="shared" si="11"/>
        <x:v>0</x:v>
      </x:c>
      <x:c r="AK24" s="487">
        <x:f t="shared" si="12"/>
        <x:v>0</x:v>
      </x:c>
      <x:c r="AL24" s="374" t="str">
        <x:f t="shared" si="13"/>
        <x:v/>
      </x:c>
      <x:c r="AM24" s="92"/>
      <x:c r="AN24" s="221"/>
      <x:c r="AO24" s="374" t="str">
        <x:f>IF($AP24="","",IF($AN24="세입없음","OK",IF(OR($AP24="재원확인",$AN24=""),"@@",IF(COUNTIF('3. 일입'!$AK$8:$AK$2000,$AN24),"OK","@@"))))</x:f>
        <x:v/>
      </x:c>
      <x:c r="AP24" s="356" t="str">
        <x:f t="shared" si="14"/>
        <x:v/>
      </x:c>
      <x:c r="AQ24" s="374" t="str">
        <x:f>IF(AND($AN24="",$AP24=""),"",IF(AND($AN24&lt;&gt;"",$AP24&lt;&gt;""),IF(AN24="세입없음","OK",IF(VLOOKUP($AN24,'3. 일입'!$AK$7:$AL$2000,2,FALSE)=$AP24,"OK","@@")),"@@"))</x:f>
        <x:v/>
      </x:c>
      <x:c r="AR24" s="93"/>
      <x:c r="AS24" s="533"/>
      <x:c r="AT24" s="374" t="str">
        <x:f>IF($AS24="","",IF($AS24="세입없음","OK",IF(COUNTIF('3. 일입'!$AN$8:$AN$2000,$AS24),"OK","@@")))</x:f>
        <x:v/>
      </x:c>
      <x:c r="AU24" s="356" t="str">
        <x:f t="shared" si="15"/>
        <x:v/>
      </x:c>
      <x:c r="AV24" s="374" t="str">
        <x:f t="shared" si="16"/>
        <x:v/>
      </x:c>
      <x:c r="AW24" s="93"/>
      <x:c r="AX24" s="348"/>
      <x:c r="AY24" s="28"/>
    </x:row>
    <x:row r="25" spans="1:51" s="20" customFormat="1" ht="80.099999999999994" customHeight="1">
      <x:c r="A25" s="155" t="str">
        <x:f>IF(D25="","",COUNTA($C$7:C25)-COUNTBLANK($C$7:C25)+2)</x:f>
        <x:v/>
      </x:c>
      <x:c r="B25" s="156" t="str">
        <x: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x:f>
        <x:v/>
      </x:c>
      <x:c r="C25" s="156" t="str">
        <x:f>IF(D25="","",IF(OR(D25="교육지원과",D25="총무과",D25="인사과"),"직접입력",VLOOKUP(D25,구분표!$A$3:$C$258,3,)))</x:f>
        <x:v/>
      </x:c>
      <x:c r="D25" s="219"/>
      <x:c r="E25" s="213"/>
      <x:c r="F25" s="388" t="str">
        <x:f t="shared" ref="F25:G38" si="32">IF($E25="","",IF($E25="2추","직접입력","-"))</x:f>
        <x:v/>
      </x:c>
      <x:c r="G25" s="388" t="str">
        <x:f t="shared" si="32"/>
        <x:v/>
      </x:c>
      <x:c r="H25" s="213"/>
      <x:c r="I25" s="156" t="str">
        <x:f>IF(H25="","",VLOOKUP($H25,구분표!$K$3:$M$151,2,FALSE))</x:f>
        <x:v/>
      </x:c>
      <x:c r="J25" s="156" t="str">
        <x:f>IF(I25="","",VLOOKUP($H25,구분표!$K$3:$M$151,3,FALSE))</x:f>
        <x:v/>
      </x:c>
      <x:c r="K25" s="233"/>
      <x:c r="L25" s="233"/>
      <x:c r="M25" s="459" t="str">
        <x:f t="shared" ref="M25:M38" si="33">IF($E25="","",IF(OR($E25="2추",$E25="1추",$E25="본예산"),"금액입력","-"))</x:f>
        <x:v/>
      </x:c>
      <x:c r="N25" s="459" t="str">
        <x:f t="shared" ref="N25:N38" si="34">IF($E25="","",IF($E25="2추","금액입력","-"))</x:f>
        <x:v/>
      </x:c>
      <x:c r="O25" s="461" t="str">
        <x:f t="shared" si="27"/>
        <x:v/>
      </x:c>
      <x:c r="P25" s="460"/>
      <x:c r="Q25" s="461">
        <x:f t="shared" si="28"/>
        <x:v>0</x:v>
      </x:c>
      <x:c r="R25" s="462"/>
      <x:c r="S25" s="463">
        <x:f t="shared" si="29"/>
        <x:v>0</x:v>
      </x:c>
      <x:c r="T25" s="162" t="str">
        <x:f t="shared" si="30"/>
        <x:v>X</x:v>
      </x:c>
      <x:c r="U25" s="552"/>
      <x:c r="V25" s="331"/>
      <x:c r="W25" s="221"/>
      <x:c r="X25" s="223"/>
      <x:c r="Y25" s="334"/>
      <x:c r="Z25" s="334"/>
      <x:c r="AA25" s="29"/>
      <x:c r="AB25" s="486">
        <x:f t="shared" si="5"/>
        <x:v>0</x:v>
      </x:c>
      <x:c r="AC25" s="487">
        <x:f t="shared" si="31"/>
        <x:v>0</x:v>
      </x:c>
      <x:c r="AD25" s="487">
        <x:f t="shared" si="6"/>
        <x:v>0</x:v>
      </x:c>
      <x:c r="AE25" s="487">
        <x:f t="shared" si="7"/>
        <x:v>0</x:v>
      </x:c>
      <x:c r="AF25" s="374" t="str">
        <x:f t="shared" si="8"/>
        <x:v/>
      </x:c>
      <x:c r="AG25" s="93"/>
      <x:c r="AH25" s="488">
        <x:f t="shared" si="9"/>
        <x:v>0</x:v>
      </x:c>
      <x:c r="AI25" s="487">
        <x:f t="shared" si="10"/>
        <x:v>0</x:v>
      </x:c>
      <x:c r="AJ25" s="487">
        <x:f t="shared" si="11"/>
        <x:v>0</x:v>
      </x:c>
      <x:c r="AK25" s="487">
        <x:f t="shared" si="12"/>
        <x:v>0</x:v>
      </x:c>
      <x:c r="AL25" s="374" t="str">
        <x:f t="shared" si="13"/>
        <x:v/>
      </x:c>
      <x:c r="AM25" s="92"/>
      <x:c r="AN25" s="221"/>
      <x:c r="AO25" s="374" t="str">
        <x:f>IF($AP25="","",IF($AN25="세입없음","OK",IF(OR($AP25="재원확인",$AN25=""),"@@",IF(COUNTIF('3. 일입'!$AK$8:$AK$2000,$AN25),"OK","@@"))))</x:f>
        <x:v/>
      </x:c>
      <x:c r="AP25" s="356" t="str">
        <x:f t="shared" si="14"/>
        <x:v/>
      </x:c>
      <x:c r="AQ25" s="374" t="str">
        <x:f>IF(AND($AN25="",$AP25=""),"",IF(AND($AN25&lt;&gt;"",$AP25&lt;&gt;""),IF(AN25="세입없음","OK",IF(VLOOKUP($AN25,'3. 일입'!$AK$7:$AL$2000,2,FALSE)=$AP25,"OK","@@")),"@@"))</x:f>
        <x:v/>
      </x:c>
      <x:c r="AR25" s="93"/>
      <x:c r="AS25" s="533"/>
      <x:c r="AT25" s="374" t="str">
        <x:f>IF($AS25="","",IF($AS25="세입없음","OK",IF(COUNTIF('3. 일입'!$AN$8:$AN$2000,$AS25),"OK","@@")))</x:f>
        <x:v/>
      </x:c>
      <x:c r="AU25" s="356" t="str">
        <x:f t="shared" si="15"/>
        <x:v/>
      </x:c>
      <x:c r="AV25" s="374" t="str">
        <x:f t="shared" si="16"/>
        <x:v/>
      </x:c>
      <x:c r="AW25" s="93"/>
      <x:c r="AX25" s="348"/>
      <x:c r="AY25" s="29"/>
    </x:row>
    <x:row r="26" spans="1:51" s="20" customFormat="1" ht="80.099999999999994" customHeight="1">
      <x:c r="A26" s="155" t="str">
        <x:f>IF(D26="","",COUNTA($C$7:C26)-COUNTBLANK($C$7:C26)+2)</x:f>
        <x:v/>
      </x:c>
      <x:c r="B26" s="156" t="str">
        <x: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x:f>
        <x:v/>
      </x:c>
      <x:c r="C26" s="156" t="str">
        <x:f>IF(D26="","",IF(OR(D26="교육지원과",D26="총무과",D26="인사과"),"직접입력",VLOOKUP(D26,구분표!$A$3:$C$258,3,)))</x:f>
        <x:v/>
      </x:c>
      <x:c r="D26" s="219"/>
      <x:c r="E26" s="213"/>
      <x:c r="F26" s="388" t="str">
        <x:f t="shared" si="32"/>
        <x:v/>
      </x:c>
      <x:c r="G26" s="388" t="str">
        <x:f t="shared" si="32"/>
        <x:v/>
      </x:c>
      <x:c r="H26" s="213"/>
      <x:c r="I26" s="156" t="str">
        <x:f>IF(H26="","",VLOOKUP($H26,구분표!$K$3:$M$151,2,FALSE))</x:f>
        <x:v/>
      </x:c>
      <x:c r="J26" s="156" t="str">
        <x:f>IF(I26="","",VLOOKUP($H26,구분표!$K$3:$M$151,3,FALSE))</x:f>
        <x:v/>
      </x:c>
      <x:c r="K26" s="233"/>
      <x:c r="L26" s="233"/>
      <x:c r="M26" s="459" t="str">
        <x:f t="shared" si="33"/>
        <x:v/>
      </x:c>
      <x:c r="N26" s="459" t="str">
        <x:f t="shared" si="34"/>
        <x:v/>
      </x:c>
      <x:c r="O26" s="461" t="str">
        <x:f t="shared" si="27"/>
        <x:v/>
      </x:c>
      <x:c r="P26" s="460"/>
      <x:c r="Q26" s="461">
        <x:f t="shared" si="28"/>
        <x:v>0</x:v>
      </x:c>
      <x:c r="R26" s="462"/>
      <x:c r="S26" s="463">
        <x:f t="shared" si="29"/>
        <x:v>0</x:v>
      </x:c>
      <x:c r="T26" s="162" t="str">
        <x:f t="shared" si="30"/>
        <x:v>X</x:v>
      </x:c>
      <x:c r="U26" s="552"/>
      <x:c r="V26" s="331"/>
      <x:c r="W26" s="221"/>
      <x:c r="X26" s="223"/>
      <x:c r="Y26" s="334"/>
      <x:c r="Z26" s="334"/>
      <x:c r="AA26" s="29"/>
      <x:c r="AB26" s="486">
        <x:f t="shared" si="5"/>
        <x:v>0</x:v>
      </x:c>
      <x:c r="AC26" s="487">
        <x:f t="shared" si="31"/>
        <x:v>0</x:v>
      </x:c>
      <x:c r="AD26" s="487">
        <x:f t="shared" si="6"/>
        <x:v>0</x:v>
      </x:c>
      <x:c r="AE26" s="487">
        <x:f t="shared" si="7"/>
        <x:v>0</x:v>
      </x:c>
      <x:c r="AF26" s="374" t="str">
        <x:f t="shared" si="8"/>
        <x:v/>
      </x:c>
      <x:c r="AG26" s="93"/>
      <x:c r="AH26" s="488">
        <x:f t="shared" si="9"/>
        <x:v>0</x:v>
      </x:c>
      <x:c r="AI26" s="487">
        <x:f t="shared" si="10"/>
        <x:v>0</x:v>
      </x:c>
      <x:c r="AJ26" s="487">
        <x:f t="shared" si="11"/>
        <x:v>0</x:v>
      </x:c>
      <x:c r="AK26" s="487">
        <x:f t="shared" si="12"/>
        <x:v>0</x:v>
      </x:c>
      <x:c r="AL26" s="374" t="str">
        <x:f t="shared" si="13"/>
        <x:v/>
      </x:c>
      <x:c r="AM26" s="92"/>
      <x:c r="AN26" s="221"/>
      <x:c r="AO26" s="374" t="str">
        <x:f>IF($AP26="","",IF($AN26="세입없음","OK",IF(OR($AP26="재원확인",$AN26=""),"@@",IF(COUNTIF('3. 일입'!$AK$8:$AK$2000,$AN26),"OK","@@"))))</x:f>
        <x:v/>
      </x:c>
      <x:c r="AP26" s="356" t="str">
        <x:f t="shared" si="14"/>
        <x:v/>
      </x:c>
      <x:c r="AQ26" s="374" t="str">
        <x:f>IF(AND($AN26="",$AP26=""),"",IF(AND($AN26&lt;&gt;"",$AP26&lt;&gt;""),IF(AN26="세입없음","OK",IF(VLOOKUP($AN26,'3. 일입'!$AK$7:$AL$2000,2,FALSE)=$AP26,"OK","@@")),"@@"))</x:f>
        <x:v/>
      </x:c>
      <x:c r="AR26" s="93"/>
      <x:c r="AS26" s="533"/>
      <x:c r="AT26" s="374" t="str">
        <x:f>IF($AS26="","",IF($AS26="세입없음","OK",IF(COUNTIF('3. 일입'!$AN$8:$AN$2000,$AS26),"OK","@@")))</x:f>
        <x:v/>
      </x:c>
      <x:c r="AU26" s="356" t="str">
        <x:f t="shared" si="15"/>
        <x:v/>
      </x:c>
      <x:c r="AV26" s="374" t="str">
        <x:f t="shared" si="16"/>
        <x:v/>
      </x:c>
      <x:c r="AW26" s="93"/>
      <x:c r="AX26" s="348"/>
      <x:c r="AY26" s="29"/>
    </x:row>
    <x:row r="27" spans="1:51" s="20" customFormat="1" ht="80.099999999999994" customHeight="1">
      <x:c r="A27" s="155" t="str">
        <x:f>IF(D27="","",COUNTA($C$7:C27)-COUNTBLANK($C$7:C27)+2)</x:f>
        <x:v/>
      </x:c>
      <x:c r="B27" s="156" t="str">
        <x: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x:f>
        <x:v/>
      </x:c>
      <x:c r="C27" s="156" t="str">
        <x:f>IF(D27="","",IF(OR(D27="교육지원과",D27="총무과",D27="인사과"),"직접입력",VLOOKUP(D27,구분표!$A$3:$C$258,3,)))</x:f>
        <x:v/>
      </x:c>
      <x:c r="D27" s="219"/>
      <x:c r="E27" s="213"/>
      <x:c r="F27" s="388" t="str">
        <x:f t="shared" si="32"/>
        <x:v/>
      </x:c>
      <x:c r="G27" s="388" t="str">
        <x:f t="shared" si="32"/>
        <x:v/>
      </x:c>
      <x:c r="H27" s="213"/>
      <x:c r="I27" s="156" t="str">
        <x:f>IF(H27="","",VLOOKUP($H27,구분표!$K$3:$M$151,2,FALSE))</x:f>
        <x:v/>
      </x:c>
      <x:c r="J27" s="156" t="str">
        <x:f>IF(I27="","",VLOOKUP($H27,구분표!$K$3:$M$151,3,FALSE))</x:f>
        <x:v/>
      </x:c>
      <x:c r="K27" s="233"/>
      <x:c r="L27" s="233"/>
      <x:c r="M27" s="459" t="str">
        <x:f t="shared" si="33"/>
        <x:v/>
      </x:c>
      <x:c r="N27" s="459" t="str">
        <x:f t="shared" si="34"/>
        <x:v/>
      </x:c>
      <x:c r="O27" s="461" t="str">
        <x:f t="shared" si="27"/>
        <x:v/>
      </x:c>
      <x:c r="P27" s="460"/>
      <x:c r="Q27" s="461">
        <x:f t="shared" si="28"/>
        <x:v>0</x:v>
      </x:c>
      <x:c r="R27" s="462"/>
      <x:c r="S27" s="463">
        <x:f t="shared" si="29"/>
        <x:v>0</x:v>
      </x:c>
      <x:c r="T27" s="162" t="str">
        <x:f t="shared" si="30"/>
        <x:v>X</x:v>
      </x:c>
      <x:c r="U27" s="552"/>
      <x:c r="V27" s="331"/>
      <x:c r="W27" s="221"/>
      <x:c r="X27" s="223"/>
      <x:c r="Y27" s="334"/>
      <x:c r="Z27" s="334"/>
      <x:c r="AA27" s="29"/>
      <x:c r="AB27" s="486">
        <x:f t="shared" si="5"/>
        <x:v>0</x:v>
      </x:c>
      <x:c r="AC27" s="487">
        <x:f t="shared" si="31"/>
        <x:v>0</x:v>
      </x:c>
      <x:c r="AD27" s="487">
        <x:f t="shared" si="6"/>
        <x:v>0</x:v>
      </x:c>
      <x:c r="AE27" s="487">
        <x:f t="shared" si="7"/>
        <x:v>0</x:v>
      </x:c>
      <x:c r="AF27" s="374" t="str">
        <x:f t="shared" si="8"/>
        <x:v/>
      </x:c>
      <x:c r="AG27" s="93"/>
      <x:c r="AH27" s="488">
        <x:f t="shared" si="9"/>
        <x:v>0</x:v>
      </x:c>
      <x:c r="AI27" s="487">
        <x:f t="shared" si="10"/>
        <x:v>0</x:v>
      </x:c>
      <x:c r="AJ27" s="487">
        <x:f t="shared" si="11"/>
        <x:v>0</x:v>
      </x:c>
      <x:c r="AK27" s="487">
        <x:f t="shared" si="12"/>
        <x:v>0</x:v>
      </x:c>
      <x:c r="AL27" s="374" t="str">
        <x:f t="shared" si="13"/>
        <x:v/>
      </x:c>
      <x:c r="AM27" s="92"/>
      <x:c r="AN27" s="221"/>
      <x:c r="AO27" s="374" t="str">
        <x:f>IF($AP27="","",IF($AN27="세입없음","OK",IF(OR($AP27="재원확인",$AN27=""),"@@",IF(COUNTIF('3. 일입'!$AK$8:$AK$2000,$AN27),"OK","@@"))))</x:f>
        <x:v/>
      </x:c>
      <x:c r="AP27" s="356" t="str">
        <x:f t="shared" si="14"/>
        <x:v/>
      </x:c>
      <x:c r="AQ27" s="374" t="str">
        <x:f>IF(AND($AN27="",$AP27=""),"",IF(AND($AN27&lt;&gt;"",$AP27&lt;&gt;""),IF(AN27="세입없음","OK",IF(VLOOKUP($AN27,'3. 일입'!$AK$7:$AL$2000,2,FALSE)=$AP27,"OK","@@")),"@@"))</x:f>
        <x:v/>
      </x:c>
      <x:c r="AR27" s="93"/>
      <x:c r="AS27" s="533"/>
      <x:c r="AT27" s="374" t="str">
        <x:f>IF($AS27="","",IF($AS27="세입없음","OK",IF(COUNTIF('3. 일입'!$AN$8:$AN$2000,$AS27),"OK","@@")))</x:f>
        <x:v/>
      </x:c>
      <x:c r="AU27" s="356" t="str">
        <x:f t="shared" si="15"/>
        <x:v/>
      </x:c>
      <x:c r="AV27" s="374" t="str">
        <x:f t="shared" si="16"/>
        <x:v/>
      </x:c>
      <x:c r="AW27" s="93"/>
      <x:c r="AX27" s="348"/>
      <x:c r="AY27" s="29"/>
    </x:row>
    <x:row r="28" spans="1:51" s="20" customFormat="1" ht="80.099999999999994" customHeight="1">
      <x:c r="A28" s="155" t="str">
        <x:f>IF(D28="","",COUNTA($C$7:C28)-COUNTBLANK($C$7:C28)+2)</x:f>
        <x:v/>
      </x:c>
      <x:c r="B28" s="156" t="str">
        <x: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x:f>
        <x:v/>
      </x:c>
      <x:c r="C28" s="156" t="str">
        <x:f>IF(D28="","",IF(OR(D28="교육지원과",D28="총무과",D28="인사과"),"직접입력",VLOOKUP(D28,구분표!$A$3:$C$258,3,)))</x:f>
        <x:v/>
      </x:c>
      <x:c r="D28" s="219"/>
      <x:c r="E28" s="213"/>
      <x:c r="F28" s="388" t="str">
        <x:f t="shared" si="32"/>
        <x:v/>
      </x:c>
      <x:c r="G28" s="388" t="str">
        <x:f t="shared" si="32"/>
        <x:v/>
      </x:c>
      <x:c r="H28" s="213"/>
      <x:c r="I28" s="156" t="str">
        <x:f>IF(H28="","",VLOOKUP($H28,구분표!$K$3:$M$151,2,FALSE))</x:f>
        <x:v/>
      </x:c>
      <x:c r="J28" s="156" t="str">
        <x:f>IF(I28="","",VLOOKUP($H28,구분표!$K$3:$M$151,3,FALSE))</x:f>
        <x:v/>
      </x:c>
      <x:c r="K28" s="233"/>
      <x:c r="L28" s="233"/>
      <x:c r="M28" s="459" t="str">
        <x:f t="shared" si="33"/>
        <x:v/>
      </x:c>
      <x:c r="N28" s="459" t="str">
        <x:f t="shared" si="34"/>
        <x:v/>
      </x:c>
      <x:c r="O28" s="461" t="str">
        <x:f t="shared" si="27"/>
        <x:v/>
      </x:c>
      <x:c r="P28" s="460"/>
      <x:c r="Q28" s="461">
        <x:f t="shared" si="28"/>
        <x:v>0</x:v>
      </x:c>
      <x:c r="R28" s="462"/>
      <x:c r="S28" s="463">
        <x:f t="shared" si="29"/>
        <x:v>0</x:v>
      </x:c>
      <x:c r="T28" s="162" t="str">
        <x:f t="shared" si="30"/>
        <x:v>X</x:v>
      </x:c>
      <x:c r="U28" s="552"/>
      <x:c r="V28" s="331"/>
      <x:c r="W28" s="221"/>
      <x:c r="X28" s="223"/>
      <x:c r="Y28" s="334"/>
      <x:c r="Z28" s="334"/>
      <x:c r="AA28" s="29"/>
      <x:c r="AB28" s="486">
        <x:f t="shared" si="5"/>
        <x:v>0</x:v>
      </x:c>
      <x:c r="AC28" s="487">
        <x:f t="shared" si="31"/>
        <x:v>0</x:v>
      </x:c>
      <x:c r="AD28" s="487">
        <x:f t="shared" si="6"/>
        <x:v>0</x:v>
      </x:c>
      <x:c r="AE28" s="487">
        <x:f t="shared" si="7"/>
        <x:v>0</x:v>
      </x:c>
      <x:c r="AF28" s="374" t="str">
        <x:f t="shared" si="8"/>
        <x:v/>
      </x:c>
      <x:c r="AG28" s="93"/>
      <x:c r="AH28" s="488">
        <x:f t="shared" si="9"/>
        <x:v>0</x:v>
      </x:c>
      <x:c r="AI28" s="487">
        <x:f t="shared" si="10"/>
        <x:v>0</x:v>
      </x:c>
      <x:c r="AJ28" s="487">
        <x:f t="shared" si="11"/>
        <x:v>0</x:v>
      </x:c>
      <x:c r="AK28" s="487">
        <x:f t="shared" si="12"/>
        <x:v>0</x:v>
      </x:c>
      <x:c r="AL28" s="374" t="str">
        <x:f t="shared" si="13"/>
        <x:v/>
      </x:c>
      <x:c r="AM28" s="92"/>
      <x:c r="AN28" s="221"/>
      <x:c r="AO28" s="374" t="str">
        <x:f>IF($AP28="","",IF($AN28="세입없음","OK",IF(OR($AP28="재원확인",$AN28=""),"@@",IF(COUNTIF('3. 일입'!$AK$8:$AK$2000,$AN28),"OK","@@"))))</x:f>
        <x:v/>
      </x:c>
      <x:c r="AP28" s="356" t="str">
        <x:f t="shared" si="14"/>
        <x:v/>
      </x:c>
      <x:c r="AQ28" s="374" t="str">
        <x:f>IF(AND($AN28="",$AP28=""),"",IF(AND($AN28&lt;&gt;"",$AP28&lt;&gt;""),IF(AN28="세입없음","OK",IF(VLOOKUP($AN28,'3. 일입'!$AK$7:$AL$2000,2,FALSE)=$AP28,"OK","@@")),"@@"))</x:f>
        <x:v/>
      </x:c>
      <x:c r="AR28" s="93"/>
      <x:c r="AS28" s="533"/>
      <x:c r="AT28" s="374" t="str">
        <x:f>IF($AS28="","",IF($AS28="세입없음","OK",IF(COUNTIF('3. 일입'!$AN$8:$AN$2000,$AS28),"OK","@@")))</x:f>
        <x:v/>
      </x:c>
      <x:c r="AU28" s="356" t="str">
        <x:f t="shared" si="15"/>
        <x:v/>
      </x:c>
      <x:c r="AV28" s="374" t="str">
        <x:f t="shared" si="16"/>
        <x:v/>
      </x:c>
      <x:c r="AW28" s="93"/>
      <x:c r="AX28" s="348"/>
      <x:c r="AY28" s="29"/>
    </x:row>
    <x:row r="29" spans="1:51" s="20" customFormat="1" ht="80.099999999999994" customHeight="1">
      <x:c r="A29" s="155" t="str">
        <x:f>IF(D29="","",COUNTA($C$7:C29)-COUNTBLANK($C$7:C29)+2)</x:f>
        <x:v/>
      </x:c>
      <x:c r="B29" s="156" t="str">
        <x: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x:f>
        <x:v/>
      </x:c>
      <x:c r="C29" s="156" t="str">
        <x:f>IF(D29="","",IF(OR(D29="교육지원과",D29="총무과",D29="인사과"),"직접입력",VLOOKUP(D29,구분표!$A$3:$C$258,3,)))</x:f>
        <x:v/>
      </x:c>
      <x:c r="D29" s="219"/>
      <x:c r="E29" s="213"/>
      <x:c r="F29" s="388" t="str">
        <x:f t="shared" si="32"/>
        <x:v/>
      </x:c>
      <x:c r="G29" s="388" t="str">
        <x:f t="shared" si="32"/>
        <x:v/>
      </x:c>
      <x:c r="H29" s="213"/>
      <x:c r="I29" s="156" t="str">
        <x:f>IF(H29="","",VLOOKUP($H29,구분표!$K$3:$M$151,2,FALSE))</x:f>
        <x:v/>
      </x:c>
      <x:c r="J29" s="156" t="str">
        <x:f>IF(I29="","",VLOOKUP($H29,구분표!$K$3:$M$151,3,FALSE))</x:f>
        <x:v/>
      </x:c>
      <x:c r="K29" s="233"/>
      <x:c r="L29" s="233"/>
      <x:c r="M29" s="459" t="str">
        <x:f t="shared" si="33"/>
        <x:v/>
      </x:c>
      <x:c r="N29" s="459" t="str">
        <x:f t="shared" si="34"/>
        <x:v/>
      </x:c>
      <x:c r="O29" s="461" t="str">
        <x:f t="shared" si="27"/>
        <x:v/>
      </x:c>
      <x:c r="P29" s="460"/>
      <x:c r="Q29" s="461">
        <x:f t="shared" si="28"/>
        <x:v>0</x:v>
      </x:c>
      <x:c r="R29" s="462"/>
      <x:c r="S29" s="463">
        <x:f t="shared" si="29"/>
        <x:v>0</x:v>
      </x:c>
      <x:c r="T29" s="162" t="str">
        <x:f t="shared" si="30"/>
        <x:v>X</x:v>
      </x:c>
      <x:c r="U29" s="552"/>
      <x:c r="V29" s="331"/>
      <x:c r="W29" s="221"/>
      <x:c r="X29" s="223"/>
      <x:c r="Y29" s="334"/>
      <x:c r="Z29" s="334"/>
      <x:c r="AA29" s="29"/>
      <x:c r="AB29" s="486">
        <x:f t="shared" si="5"/>
        <x:v>0</x:v>
      </x:c>
      <x:c r="AC29" s="487">
        <x:f t="shared" si="31"/>
        <x:v>0</x:v>
      </x:c>
      <x:c r="AD29" s="487">
        <x:f t="shared" si="6"/>
        <x:v>0</x:v>
      </x:c>
      <x:c r="AE29" s="487">
        <x:f t="shared" si="7"/>
        <x:v>0</x:v>
      </x:c>
      <x:c r="AF29" s="374" t="str">
        <x:f t="shared" si="8"/>
        <x:v/>
      </x:c>
      <x:c r="AG29" s="93"/>
      <x:c r="AH29" s="488">
        <x:f t="shared" si="9"/>
        <x:v>0</x:v>
      </x:c>
      <x:c r="AI29" s="487">
        <x:f t="shared" si="10"/>
        <x:v>0</x:v>
      </x:c>
      <x:c r="AJ29" s="487">
        <x:f t="shared" si="11"/>
        <x:v>0</x:v>
      </x:c>
      <x:c r="AK29" s="487">
        <x:f t="shared" si="12"/>
        <x:v>0</x:v>
      </x:c>
      <x:c r="AL29" s="374" t="str">
        <x:f t="shared" si="13"/>
        <x:v/>
      </x:c>
      <x:c r="AM29" s="92"/>
      <x:c r="AN29" s="221"/>
      <x:c r="AO29" s="374" t="str">
        <x:f>IF($AP29="","",IF($AN29="세입없음","OK",IF(OR($AP29="재원확인",$AN29=""),"@@",IF(COUNTIF('3. 일입'!$AK$8:$AK$2000,$AN29),"OK","@@"))))</x:f>
        <x:v/>
      </x:c>
      <x:c r="AP29" s="356" t="str">
        <x:f t="shared" si="14"/>
        <x:v/>
      </x:c>
      <x:c r="AQ29" s="374" t="str">
        <x:f>IF(AND($AN29="",$AP29=""),"",IF(AND($AN29&lt;&gt;"",$AP29&lt;&gt;""),IF(AN29="세입없음","OK",IF(VLOOKUP($AN29,'3. 일입'!$AK$7:$AL$2000,2,FALSE)=$AP29,"OK","@@")),"@@"))</x:f>
        <x:v/>
      </x:c>
      <x:c r="AR29" s="93"/>
      <x:c r="AS29" s="533"/>
      <x:c r="AT29" s="374" t="str">
        <x:f>IF($AS29="","",IF($AS29="세입없음","OK",IF(COUNTIF('3. 일입'!$AN$8:$AN$2000,$AS29),"OK","@@")))</x:f>
        <x:v/>
      </x:c>
      <x:c r="AU29" s="356" t="str">
        <x:f t="shared" si="15"/>
        <x:v/>
      </x:c>
      <x:c r="AV29" s="374" t="str">
        <x:f t="shared" si="16"/>
        <x:v/>
      </x:c>
      <x:c r="AW29" s="93"/>
      <x:c r="AX29" s="348"/>
      <x:c r="AY29" s="29"/>
    </x:row>
    <x:row r="30" spans="1:51" s="20" customFormat="1" ht="80.099999999999994" customHeight="1">
      <x:c r="A30" s="155" t="str">
        <x:f>IF(D30="","",COUNTA($C$7:C30)-COUNTBLANK($C$7:C30)+2)</x:f>
        <x:v/>
      </x:c>
      <x:c r="B30" s="156" t="str">
        <x: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x:f>
        <x:v/>
      </x:c>
      <x:c r="C30" s="156" t="str">
        <x:f>IF(D30="","",IF(OR(D30="교육지원과",D30="총무과",D30="인사과"),"직접입력",VLOOKUP(D30,구분표!$A$3:$C$258,3,)))</x:f>
        <x:v/>
      </x:c>
      <x:c r="D30" s="219"/>
      <x:c r="E30" s="213"/>
      <x:c r="F30" s="388" t="str">
        <x:f t="shared" si="32"/>
        <x:v/>
      </x:c>
      <x:c r="G30" s="388" t="str">
        <x:f t="shared" si="32"/>
        <x:v/>
      </x:c>
      <x:c r="H30" s="213"/>
      <x:c r="I30" s="156" t="str">
        <x:f>IF(H30="","",VLOOKUP($H30,구분표!$K$3:$M$151,2,FALSE))</x:f>
        <x:v/>
      </x:c>
      <x:c r="J30" s="156" t="str">
        <x:f>IF(I30="","",VLOOKUP($H30,구분표!$K$3:$M$151,3,FALSE))</x:f>
        <x:v/>
      </x:c>
      <x:c r="K30" s="233"/>
      <x:c r="L30" s="233"/>
      <x:c r="M30" s="459" t="str">
        <x:f t="shared" si="33"/>
        <x:v/>
      </x:c>
      <x:c r="N30" s="459" t="str">
        <x:f t="shared" si="34"/>
        <x:v/>
      </x:c>
      <x:c r="O30" s="461" t="str">
        <x:f t="shared" si="27"/>
        <x:v/>
      </x:c>
      <x:c r="P30" s="460"/>
      <x:c r="Q30" s="461">
        <x:f t="shared" si="28"/>
        <x:v>0</x:v>
      </x:c>
      <x:c r="R30" s="462"/>
      <x:c r="S30" s="463">
        <x:f t="shared" si="29"/>
        <x:v>0</x:v>
      </x:c>
      <x:c r="T30" s="162" t="str">
        <x:f t="shared" si="30"/>
        <x:v>X</x:v>
      </x:c>
      <x:c r="U30" s="552"/>
      <x:c r="V30" s="331"/>
      <x:c r="W30" s="221"/>
      <x:c r="X30" s="223"/>
      <x:c r="Y30" s="334"/>
      <x:c r="Z30" s="334"/>
      <x:c r="AA30" s="29"/>
      <x:c r="AB30" s="486">
        <x:f t="shared" si="5"/>
        <x:v>0</x:v>
      </x:c>
      <x:c r="AC30" s="487">
        <x:f t="shared" si="31"/>
        <x:v>0</x:v>
      </x:c>
      <x:c r="AD30" s="487">
        <x:f t="shared" si="6"/>
        <x:v>0</x:v>
      </x:c>
      <x:c r="AE30" s="487">
        <x:f t="shared" si="7"/>
        <x:v>0</x:v>
      </x:c>
      <x:c r="AF30" s="374" t="str">
        <x:f t="shared" si="8"/>
        <x:v/>
      </x:c>
      <x:c r="AG30" s="93"/>
      <x:c r="AH30" s="488">
        <x:f t="shared" si="9"/>
        <x:v>0</x:v>
      </x:c>
      <x:c r="AI30" s="487">
        <x:f t="shared" si="10"/>
        <x:v>0</x:v>
      </x:c>
      <x:c r="AJ30" s="487">
        <x:f t="shared" si="11"/>
        <x:v>0</x:v>
      </x:c>
      <x:c r="AK30" s="487">
        <x:f t="shared" si="12"/>
        <x:v>0</x:v>
      </x:c>
      <x:c r="AL30" s="374" t="str">
        <x:f t="shared" si="13"/>
        <x:v/>
      </x:c>
      <x:c r="AM30" s="92"/>
      <x:c r="AN30" s="221"/>
      <x:c r="AO30" s="374" t="str">
        <x:f>IF($AP30="","",IF($AN30="세입없음","OK",IF(OR($AP30="재원확인",$AN30=""),"@@",IF(COUNTIF('3. 일입'!$AK$8:$AK$2000,$AN30),"OK","@@"))))</x:f>
        <x:v/>
      </x:c>
      <x:c r="AP30" s="356" t="str">
        <x:f t="shared" si="14"/>
        <x:v/>
      </x:c>
      <x:c r="AQ30" s="374" t="str">
        <x:f>IF(AND($AN30="",$AP30=""),"",IF(AND($AN30&lt;&gt;"",$AP30&lt;&gt;""),IF(AN30="세입없음","OK",IF(VLOOKUP($AN30,'3. 일입'!$AK$7:$AL$2000,2,FALSE)=$AP30,"OK","@@")),"@@"))</x:f>
        <x:v/>
      </x:c>
      <x:c r="AR30" s="93"/>
      <x:c r="AS30" s="533"/>
      <x:c r="AT30" s="374" t="str">
        <x:f>IF($AS30="","",IF($AS30="세입없음","OK",IF(COUNTIF('3. 일입'!$AN$8:$AN$2000,$AS30),"OK","@@")))</x:f>
        <x:v/>
      </x:c>
      <x:c r="AU30" s="356" t="str">
        <x:f t="shared" si="15"/>
        <x:v/>
      </x:c>
      <x:c r="AV30" s="374" t="str">
        <x:f t="shared" si="16"/>
        <x:v/>
      </x:c>
      <x:c r="AW30" s="93"/>
      <x:c r="AX30" s="348"/>
      <x:c r="AY30" s="29"/>
    </x:row>
    <x:row r="31" spans="1:51" s="20" customFormat="1" ht="80.099999999999994" customHeight="1">
      <x:c r="A31" s="155" t="str">
        <x:f>IF(D31="","",COUNTA($C$7:C31)-COUNTBLANK($C$7:C31)+2)</x:f>
        <x:v/>
      </x:c>
      <x:c r="B31" s="156" t="str">
        <x: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x:f>
        <x:v/>
      </x:c>
      <x:c r="C31" s="156" t="str">
        <x:f>IF(D31="","",IF(OR(D31="교육지원과",D31="총무과",D31="인사과"),"직접입력",VLOOKUP(D31,구분표!$A$3:$C$258,3,)))</x:f>
        <x:v/>
      </x:c>
      <x:c r="D31" s="219"/>
      <x:c r="E31" s="213"/>
      <x:c r="F31" s="388" t="str">
        <x:f t="shared" si="32"/>
        <x:v/>
      </x:c>
      <x:c r="G31" s="388" t="str">
        <x:f t="shared" si="32"/>
        <x:v/>
      </x:c>
      <x:c r="H31" s="213"/>
      <x:c r="I31" s="156" t="str">
        <x:f>IF(H31="","",VLOOKUP($H31,구분표!$K$3:$M$151,2,FALSE))</x:f>
        <x:v/>
      </x:c>
      <x:c r="J31" s="156" t="str">
        <x:f>IF(I31="","",VLOOKUP($H31,구분표!$K$3:$M$151,3,FALSE))</x:f>
        <x:v/>
      </x:c>
      <x:c r="K31" s="233"/>
      <x:c r="L31" s="233"/>
      <x:c r="M31" s="459" t="str">
        <x:f t="shared" si="33"/>
        <x:v/>
      </x:c>
      <x:c r="N31" s="459" t="str">
        <x:f t="shared" si="34"/>
        <x:v/>
      </x:c>
      <x:c r="O31" s="461" t="str">
        <x:f t="shared" si="27"/>
        <x:v/>
      </x:c>
      <x:c r="P31" s="460"/>
      <x:c r="Q31" s="461">
        <x:f t="shared" si="28"/>
        <x:v>0</x:v>
      </x:c>
      <x:c r="R31" s="462"/>
      <x:c r="S31" s="463">
        <x:f t="shared" si="29"/>
        <x:v>0</x:v>
      </x:c>
      <x:c r="T31" s="162" t="str">
        <x:f t="shared" si="30"/>
        <x:v>X</x:v>
      </x:c>
      <x:c r="U31" s="552"/>
      <x:c r="V31" s="331"/>
      <x:c r="W31" s="221"/>
      <x:c r="X31" s="223"/>
      <x:c r="Y31" s="334"/>
      <x:c r="Z31" s="334"/>
      <x:c r="AA31" s="29"/>
      <x:c r="AB31" s="486">
        <x:f t="shared" si="5"/>
        <x:v>0</x:v>
      </x:c>
      <x:c r="AC31" s="487">
        <x:f t="shared" si="31"/>
        <x:v>0</x:v>
      </x:c>
      <x:c r="AD31" s="487">
        <x:f t="shared" si="6"/>
        <x:v>0</x:v>
      </x:c>
      <x:c r="AE31" s="487">
        <x:f t="shared" si="7"/>
        <x:v>0</x:v>
      </x:c>
      <x:c r="AF31" s="374" t="str">
        <x:f t="shared" si="8"/>
        <x:v/>
      </x:c>
      <x:c r="AG31" s="93"/>
      <x:c r="AH31" s="488">
        <x:f t="shared" si="9"/>
        <x:v>0</x:v>
      </x:c>
      <x:c r="AI31" s="487">
        <x:f t="shared" si="10"/>
        <x:v>0</x:v>
      </x:c>
      <x:c r="AJ31" s="487">
        <x:f t="shared" si="11"/>
        <x:v>0</x:v>
      </x:c>
      <x:c r="AK31" s="487">
        <x:f t="shared" si="12"/>
        <x:v>0</x:v>
      </x:c>
      <x:c r="AL31" s="374" t="str">
        <x:f t="shared" si="13"/>
        <x:v/>
      </x:c>
      <x:c r="AM31" s="92"/>
      <x:c r="AN31" s="221"/>
      <x:c r="AO31" s="374" t="str">
        <x:f>IF($AP31="","",IF($AN31="세입없음","OK",IF(OR($AP31="재원확인",$AN31=""),"@@",IF(COUNTIF('3. 일입'!$AK$8:$AK$2000,$AN31),"OK","@@"))))</x:f>
        <x:v/>
      </x:c>
      <x:c r="AP31" s="356" t="str">
        <x:f t="shared" si="14"/>
        <x:v/>
      </x:c>
      <x:c r="AQ31" s="374" t="str">
        <x:f>IF(AND($AN31="",$AP31=""),"",IF(AND($AN31&lt;&gt;"",$AP31&lt;&gt;""),IF(AN31="세입없음","OK",IF(VLOOKUP($AN31,'3. 일입'!$AK$7:$AL$2000,2,FALSE)=$AP31,"OK","@@")),"@@"))</x:f>
        <x:v/>
      </x:c>
      <x:c r="AR31" s="93"/>
      <x:c r="AS31" s="533"/>
      <x:c r="AT31" s="374" t="str">
        <x:f>IF($AS31="","",IF($AS31="세입없음","OK",IF(COUNTIF('3. 일입'!$AN$8:$AN$2000,$AS31),"OK","@@")))</x:f>
        <x:v/>
      </x:c>
      <x:c r="AU31" s="356" t="str">
        <x:f t="shared" si="15"/>
        <x:v/>
      </x:c>
      <x:c r="AV31" s="374" t="str">
        <x:f t="shared" si="16"/>
        <x:v/>
      </x:c>
      <x:c r="AW31" s="93"/>
      <x:c r="AX31" s="348"/>
      <x:c r="AY31" s="29"/>
    </x:row>
    <x:row r="32" spans="1:51" s="20" customFormat="1" ht="80.099999999999994" customHeight="1">
      <x:c r="A32" s="155" t="str">
        <x:f>IF(D32="","",COUNTA($C$7:C32)-COUNTBLANK($C$7:C32)+2)</x:f>
        <x:v/>
      </x:c>
      <x:c r="B32" s="156" t="str">
        <x: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x:f>
        <x:v/>
      </x:c>
      <x:c r="C32" s="156" t="str">
        <x:f>IF(D32="","",IF(OR(D32="교육지원과",D32="총무과",D32="인사과"),"직접입력",VLOOKUP(D32,구분표!$A$3:$C$258,3,)))</x:f>
        <x:v/>
      </x:c>
      <x:c r="D32" s="219"/>
      <x:c r="E32" s="213"/>
      <x:c r="F32" s="388" t="str">
        <x:f t="shared" si="32"/>
        <x:v/>
      </x:c>
      <x:c r="G32" s="388" t="str">
        <x:f t="shared" si="32"/>
        <x:v/>
      </x:c>
      <x:c r="H32" s="213"/>
      <x:c r="I32" s="156" t="str">
        <x:f>IF(H32="","",VLOOKUP($H32,구분표!$K$3:$M$151,2,FALSE))</x:f>
        <x:v/>
      </x:c>
      <x:c r="J32" s="156" t="str">
        <x:f>IF(I32="","",VLOOKUP($H32,구분표!$K$3:$M$151,3,FALSE))</x:f>
        <x:v/>
      </x:c>
      <x:c r="K32" s="233"/>
      <x:c r="L32" s="233"/>
      <x:c r="M32" s="459" t="str">
        <x:f t="shared" si="33"/>
        <x:v/>
      </x:c>
      <x:c r="N32" s="459" t="str">
        <x:f t="shared" si="34"/>
        <x:v/>
      </x:c>
      <x:c r="O32" s="461" t="str">
        <x:f t="shared" si="27"/>
        <x:v/>
      </x:c>
      <x:c r="P32" s="460"/>
      <x:c r="Q32" s="461">
        <x:f t="shared" si="28"/>
        <x:v>0</x:v>
      </x:c>
      <x:c r="R32" s="462"/>
      <x:c r="S32" s="463">
        <x:f t="shared" si="29"/>
        <x:v>0</x:v>
      </x:c>
      <x:c r="T32" s="162" t="str">
        <x:f t="shared" si="30"/>
        <x:v>X</x:v>
      </x:c>
      <x:c r="U32" s="552"/>
      <x:c r="V32" s="331"/>
      <x:c r="W32" s="221"/>
      <x:c r="X32" s="223"/>
      <x:c r="Y32" s="334"/>
      <x:c r="Z32" s="334"/>
      <x:c r="AA32" s="29"/>
      <x:c r="AB32" s="486">
        <x:f t="shared" si="5"/>
        <x:v>0</x:v>
      </x:c>
      <x:c r="AC32" s="487">
        <x:f t="shared" si="31"/>
        <x:v>0</x:v>
      </x:c>
      <x:c r="AD32" s="487">
        <x:f t="shared" si="6"/>
        <x:v>0</x:v>
      </x:c>
      <x:c r="AE32" s="487">
        <x:f t="shared" si="7"/>
        <x:v>0</x:v>
      </x:c>
      <x:c r="AF32" s="374" t="str">
        <x:f t="shared" si="8"/>
        <x:v/>
      </x:c>
      <x:c r="AG32" s="93"/>
      <x:c r="AH32" s="488">
        <x:f t="shared" si="9"/>
        <x:v>0</x:v>
      </x:c>
      <x:c r="AI32" s="487">
        <x:f t="shared" si="10"/>
        <x:v>0</x:v>
      </x:c>
      <x:c r="AJ32" s="487">
        <x:f t="shared" si="11"/>
        <x:v>0</x:v>
      </x:c>
      <x:c r="AK32" s="487">
        <x:f t="shared" si="12"/>
        <x:v>0</x:v>
      </x:c>
      <x:c r="AL32" s="374" t="str">
        <x:f t="shared" si="13"/>
        <x:v/>
      </x:c>
      <x:c r="AM32" s="92"/>
      <x:c r="AN32" s="221"/>
      <x:c r="AO32" s="374" t="str">
        <x:f>IF($AP32="","",IF($AN32="세입없음","OK",IF(OR($AP32="재원확인",$AN32=""),"@@",IF(COUNTIF('3. 일입'!$AK$8:$AK$2000,$AN32),"OK","@@"))))</x:f>
        <x:v/>
      </x:c>
      <x:c r="AP32" s="356" t="str">
        <x:f t="shared" si="14"/>
        <x:v/>
      </x:c>
      <x:c r="AQ32" s="374" t="str">
        <x:f>IF(AND($AN32="",$AP32=""),"",IF(AND($AN32&lt;&gt;"",$AP32&lt;&gt;""),IF(AN32="세입없음","OK",IF(VLOOKUP($AN32,'3. 일입'!$AK$7:$AL$2000,2,FALSE)=$AP32,"OK","@@")),"@@"))</x:f>
        <x:v/>
      </x:c>
      <x:c r="AR32" s="93"/>
      <x:c r="AS32" s="533"/>
      <x:c r="AT32" s="374" t="str">
        <x:f>IF($AS32="","",IF($AS32="세입없음","OK",IF(COUNTIF('3. 일입'!$AN$8:$AN$2000,$AS32),"OK","@@")))</x:f>
        <x:v/>
      </x:c>
      <x:c r="AU32" s="356" t="str">
        <x:f t="shared" si="15"/>
        <x:v/>
      </x:c>
      <x:c r="AV32" s="374" t="str">
        <x:f t="shared" si="16"/>
        <x:v/>
      </x:c>
      <x:c r="AW32" s="93"/>
      <x:c r="AX32" s="348"/>
      <x:c r="AY32" s="29"/>
    </x:row>
    <x:row r="33" spans="1:51" s="20" customFormat="1" ht="80.099999999999994" customHeight="1">
      <x:c r="A33" s="155" t="str">
        <x:f>IF(D33="","",COUNTA($C$7:C33)-COUNTBLANK($C$7:C33)+2)</x:f>
        <x:v/>
      </x:c>
      <x:c r="B33" s="156" t="str">
        <x: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x:f>
        <x:v/>
      </x:c>
      <x:c r="C33" s="156" t="str">
        <x:f>IF(D33="","",IF(OR(D33="교육지원과",D33="총무과",D33="인사과"),"직접입력",VLOOKUP(D33,구분표!$A$3:$C$258,3,)))</x:f>
        <x:v/>
      </x:c>
      <x:c r="D33" s="219"/>
      <x:c r="E33" s="213"/>
      <x:c r="F33" s="388" t="str">
        <x:f t="shared" si="32"/>
        <x:v/>
      </x:c>
      <x:c r="G33" s="388" t="str">
        <x:f t="shared" si="32"/>
        <x:v/>
      </x:c>
      <x:c r="H33" s="213"/>
      <x:c r="I33" s="156" t="str">
        <x:f>IF(H33="","",VLOOKUP($H33,구분표!$K$3:$M$151,2,FALSE))</x:f>
        <x:v/>
      </x:c>
      <x:c r="J33" s="156" t="str">
        <x:f>IF(I33="","",VLOOKUP($H33,구분표!$K$3:$M$151,3,FALSE))</x:f>
        <x:v/>
      </x:c>
      <x:c r="K33" s="233"/>
      <x:c r="L33" s="233"/>
      <x:c r="M33" s="459" t="str">
        <x:f t="shared" si="33"/>
        <x:v/>
      </x:c>
      <x:c r="N33" s="459" t="str">
        <x:f t="shared" si="34"/>
        <x:v/>
      </x:c>
      <x:c r="O33" s="461" t="str">
        <x:f t="shared" si="27"/>
        <x:v/>
      </x:c>
      <x:c r="P33" s="460"/>
      <x:c r="Q33" s="461">
        <x:f t="shared" si="28"/>
        <x:v>0</x:v>
      </x:c>
      <x:c r="R33" s="462"/>
      <x:c r="S33" s="463">
        <x:f t="shared" si="29"/>
        <x:v>0</x:v>
      </x:c>
      <x:c r="T33" s="162" t="str">
        <x:f t="shared" si="30"/>
        <x:v>X</x:v>
      </x:c>
      <x:c r="U33" s="552"/>
      <x:c r="V33" s="331"/>
      <x:c r="W33" s="221"/>
      <x:c r="X33" s="223"/>
      <x:c r="Y33" s="334"/>
      <x:c r="Z33" s="334"/>
      <x:c r="AA33" s="29"/>
      <x:c r="AB33" s="486">
        <x:f t="shared" si="5"/>
        <x:v>0</x:v>
      </x:c>
      <x:c r="AC33" s="487">
        <x:f t="shared" si="31"/>
        <x:v>0</x:v>
      </x:c>
      <x:c r="AD33" s="487">
        <x:f t="shared" si="6"/>
        <x:v>0</x:v>
      </x:c>
      <x:c r="AE33" s="487">
        <x:f t="shared" si="7"/>
        <x:v>0</x:v>
      </x:c>
      <x:c r="AF33" s="374" t="str">
        <x:f t="shared" si="8"/>
        <x:v/>
      </x:c>
      <x:c r="AG33" s="93"/>
      <x:c r="AH33" s="488">
        <x:f t="shared" si="9"/>
        <x:v>0</x:v>
      </x:c>
      <x:c r="AI33" s="487">
        <x:f t="shared" si="10"/>
        <x:v>0</x:v>
      </x:c>
      <x:c r="AJ33" s="487">
        <x:f t="shared" si="11"/>
        <x:v>0</x:v>
      </x:c>
      <x:c r="AK33" s="487">
        <x:f t="shared" si="12"/>
        <x:v>0</x:v>
      </x:c>
      <x:c r="AL33" s="374" t="str">
        <x:f t="shared" si="13"/>
        <x:v/>
      </x:c>
      <x:c r="AM33" s="92"/>
      <x:c r="AN33" s="221"/>
      <x:c r="AO33" s="374" t="str">
        <x:f>IF($AP33="","",IF($AN33="세입없음","OK",IF(OR($AP33="재원확인",$AN33=""),"@@",IF(COUNTIF('3. 일입'!$AK$8:$AK$2000,$AN33),"OK","@@"))))</x:f>
        <x:v/>
      </x:c>
      <x:c r="AP33" s="356" t="str">
        <x:f t="shared" si="14"/>
        <x:v/>
      </x:c>
      <x:c r="AQ33" s="374" t="str">
        <x:f>IF(AND($AN33="",$AP33=""),"",IF(AND($AN33&lt;&gt;"",$AP33&lt;&gt;""),IF(AN33="세입없음","OK",IF(VLOOKUP($AN33,'3. 일입'!$AK$7:$AL$2000,2,FALSE)=$AP33,"OK","@@")),"@@"))</x:f>
        <x:v/>
      </x:c>
      <x:c r="AR33" s="93"/>
      <x:c r="AS33" s="533"/>
      <x:c r="AT33" s="374" t="str">
        <x:f>IF($AS33="","",IF($AS33="세입없음","OK",IF(COUNTIF('3. 일입'!$AN$8:$AN$2000,$AS33),"OK","@@")))</x:f>
        <x:v/>
      </x:c>
      <x:c r="AU33" s="356" t="str">
        <x:f t="shared" si="15"/>
        <x:v/>
      </x:c>
      <x:c r="AV33" s="374" t="str">
        <x:f t="shared" si="16"/>
        <x:v/>
      </x:c>
      <x:c r="AW33" s="93"/>
      <x:c r="AX33" s="348"/>
      <x:c r="AY33" s="29"/>
    </x:row>
    <x:row r="34" spans="1:51" s="20" customFormat="1" ht="80.099999999999994" customHeight="1">
      <x:c r="A34" s="155" t="str">
        <x:f>IF(D34="","",COUNTA($C$7:C34)-COUNTBLANK($C$7:C34)+2)</x:f>
        <x:v/>
      </x:c>
      <x:c r="B34" s="156" t="str">
        <x: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x:f>
        <x:v/>
      </x:c>
      <x:c r="C34" s="156" t="str">
        <x:f>IF(D34="","",IF(OR(D34="교육지원과",D34="총무과",D34="인사과"),"직접입력",VLOOKUP(D34,구분표!$A$3:$C$258,3,)))</x:f>
        <x:v/>
      </x:c>
      <x:c r="D34" s="219"/>
      <x:c r="E34" s="213"/>
      <x:c r="F34" s="388" t="str">
        <x:f t="shared" si="32"/>
        <x:v/>
      </x:c>
      <x:c r="G34" s="388" t="str">
        <x:f t="shared" si="32"/>
        <x:v/>
      </x:c>
      <x:c r="H34" s="213"/>
      <x:c r="I34" s="156" t="str">
        <x:f>IF(H34="","",VLOOKUP($H34,구분표!$K$3:$M$151,2,FALSE))</x:f>
        <x:v/>
      </x:c>
      <x:c r="J34" s="156" t="str">
        <x:f>IF(I34="","",VLOOKUP($H34,구분표!$K$3:$M$151,3,FALSE))</x:f>
        <x:v/>
      </x:c>
      <x:c r="K34" s="233"/>
      <x:c r="L34" s="233"/>
      <x:c r="M34" s="459" t="str">
        <x:f t="shared" si="33"/>
        <x:v/>
      </x:c>
      <x:c r="N34" s="459" t="str">
        <x:f t="shared" si="34"/>
        <x:v/>
      </x:c>
      <x:c r="O34" s="461" t="str">
        <x:f t="shared" si="27"/>
        <x:v/>
      </x:c>
      <x:c r="P34" s="460"/>
      <x:c r="Q34" s="461">
        <x:f t="shared" si="28"/>
        <x:v>0</x:v>
      </x:c>
      <x:c r="R34" s="462"/>
      <x:c r="S34" s="463">
        <x:f t="shared" si="29"/>
        <x:v>0</x:v>
      </x:c>
      <x:c r="T34" s="162" t="str">
        <x:f t="shared" si="30"/>
        <x:v>X</x:v>
      </x:c>
      <x:c r="U34" s="552"/>
      <x:c r="V34" s="331"/>
      <x:c r="W34" s="221"/>
      <x:c r="X34" s="223"/>
      <x:c r="Y34" s="334"/>
      <x:c r="Z34" s="334"/>
      <x:c r="AA34" s="29"/>
      <x:c r="AB34" s="486">
        <x:f t="shared" si="5"/>
        <x:v>0</x:v>
      </x:c>
      <x:c r="AC34" s="487">
        <x:f t="shared" si="31"/>
        <x:v>0</x:v>
      </x:c>
      <x:c r="AD34" s="487">
        <x:f t="shared" si="6"/>
        <x:v>0</x:v>
      </x:c>
      <x:c r="AE34" s="487">
        <x:f t="shared" si="7"/>
        <x:v>0</x:v>
      </x:c>
      <x:c r="AF34" s="374" t="str">
        <x:f t="shared" si="8"/>
        <x:v/>
      </x:c>
      <x:c r="AG34" s="93"/>
      <x:c r="AH34" s="488">
        <x:f t="shared" si="9"/>
        <x:v>0</x:v>
      </x:c>
      <x:c r="AI34" s="487">
        <x:f t="shared" si="10"/>
        <x:v>0</x:v>
      </x:c>
      <x:c r="AJ34" s="487">
        <x:f t="shared" si="11"/>
        <x:v>0</x:v>
      </x:c>
      <x:c r="AK34" s="487">
        <x:f t="shared" si="12"/>
        <x:v>0</x:v>
      </x:c>
      <x:c r="AL34" s="374" t="str">
        <x:f t="shared" si="13"/>
        <x:v/>
      </x:c>
      <x:c r="AM34" s="92"/>
      <x:c r="AN34" s="221"/>
      <x:c r="AO34" s="374" t="str">
        <x:f>IF($AP34="","",IF($AN34="세입없음","OK",IF(OR($AP34="재원확인",$AN34=""),"@@",IF(COUNTIF('3. 일입'!$AK$8:$AK$2000,$AN34),"OK","@@"))))</x:f>
        <x:v/>
      </x:c>
      <x:c r="AP34" s="356" t="str">
        <x:f t="shared" si="14"/>
        <x:v/>
      </x:c>
      <x:c r="AQ34" s="374" t="str">
        <x:f>IF(AND($AN34="",$AP34=""),"",IF(AND($AN34&lt;&gt;"",$AP34&lt;&gt;""),IF(AN34="세입없음","OK",IF(VLOOKUP($AN34,'3. 일입'!$AK$7:$AL$2000,2,FALSE)=$AP34,"OK","@@")),"@@"))</x:f>
        <x:v/>
      </x:c>
      <x:c r="AR34" s="93"/>
      <x:c r="AS34" s="533"/>
      <x:c r="AT34" s="374" t="str">
        <x:f>IF($AS34="","",IF($AS34="세입없음","OK",IF(COUNTIF('3. 일입'!$AN$8:$AN$2000,$AS34),"OK","@@")))</x:f>
        <x:v/>
      </x:c>
      <x:c r="AU34" s="356" t="str">
        <x:f t="shared" si="15"/>
        <x:v/>
      </x:c>
      <x:c r="AV34" s="374" t="str">
        <x:f t="shared" si="16"/>
        <x:v/>
      </x:c>
      <x:c r="AW34" s="93"/>
      <x:c r="AX34" s="348"/>
      <x:c r="AY34" s="29"/>
    </x:row>
    <x:row r="35" spans="1:51" s="20" customFormat="1" ht="80.099999999999994" customHeight="1">
      <x:c r="A35" s="155" t="str">
        <x:f>IF(D35="","",COUNTA($C$7:C35)-COUNTBLANK($C$7:C35)+2)</x:f>
        <x:v/>
      </x:c>
      <x:c r="B35" s="156" t="str">
        <x: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x:f>
        <x:v/>
      </x:c>
      <x:c r="C35" s="156" t="str">
        <x:f>IF(D35="","",IF(OR(D35="교육지원과",D35="총무과",D35="인사과"),"직접입력",VLOOKUP(D35,구분표!$A$3:$C$258,3,)))</x:f>
        <x:v/>
      </x:c>
      <x:c r="D35" s="219"/>
      <x:c r="E35" s="213"/>
      <x:c r="F35" s="388" t="str">
        <x:f t="shared" si="32"/>
        <x:v/>
      </x:c>
      <x:c r="G35" s="388" t="str">
        <x:f t="shared" si="32"/>
        <x:v/>
      </x:c>
      <x:c r="H35" s="213"/>
      <x:c r="I35" s="156" t="str">
        <x:f>IF(H35="","",VLOOKUP($H35,구분표!$K$3:$M$151,2,FALSE))</x:f>
        <x:v/>
      </x:c>
      <x:c r="J35" s="156" t="str">
        <x:f>IF(I35="","",VLOOKUP($H35,구분표!$K$3:$M$151,3,FALSE))</x:f>
        <x:v/>
      </x:c>
      <x:c r="K35" s="233"/>
      <x:c r="L35" s="233"/>
      <x:c r="M35" s="459" t="str">
        <x:f t="shared" si="33"/>
        <x:v/>
      </x:c>
      <x:c r="N35" s="459" t="str">
        <x:f t="shared" si="34"/>
        <x:v/>
      </x:c>
      <x:c r="O35" s="461" t="str">
        <x:f t="shared" si="27"/>
        <x:v/>
      </x:c>
      <x:c r="P35" s="460"/>
      <x:c r="Q35" s="461">
        <x:f t="shared" si="28"/>
        <x:v>0</x:v>
      </x:c>
      <x:c r="R35" s="462"/>
      <x:c r="S35" s="463">
        <x:f t="shared" si="29"/>
        <x:v>0</x:v>
      </x:c>
      <x:c r="T35" s="162" t="str">
        <x:f t="shared" si="30"/>
        <x:v>X</x:v>
      </x:c>
      <x:c r="U35" s="552"/>
      <x:c r="V35" s="331"/>
      <x:c r="W35" s="221"/>
      <x:c r="X35" s="223"/>
      <x:c r="Y35" s="334"/>
      <x:c r="Z35" s="334"/>
      <x:c r="AA35" s="29"/>
      <x:c r="AB35" s="486">
        <x:f t="shared" si="5"/>
        <x:v>0</x:v>
      </x:c>
      <x:c r="AC35" s="487">
        <x:f t="shared" si="31"/>
        <x:v>0</x:v>
      </x:c>
      <x:c r="AD35" s="487">
        <x:f t="shared" si="6"/>
        <x:v>0</x:v>
      </x:c>
      <x:c r="AE35" s="487">
        <x:f t="shared" si="7"/>
        <x:v>0</x:v>
      </x:c>
      <x:c r="AF35" s="374" t="str">
        <x:f t="shared" si="8"/>
        <x:v/>
      </x:c>
      <x:c r="AG35" s="93"/>
      <x:c r="AH35" s="488">
        <x:f t="shared" si="9"/>
        <x:v>0</x:v>
      </x:c>
      <x:c r="AI35" s="487">
        <x:f t="shared" si="10"/>
        <x:v>0</x:v>
      </x:c>
      <x:c r="AJ35" s="487">
        <x:f t="shared" si="11"/>
        <x:v>0</x:v>
      </x:c>
      <x:c r="AK35" s="487">
        <x:f t="shared" si="12"/>
        <x:v>0</x:v>
      </x:c>
      <x:c r="AL35" s="374" t="str">
        <x:f t="shared" si="13"/>
        <x:v/>
      </x:c>
      <x:c r="AM35" s="92"/>
      <x:c r="AN35" s="221"/>
      <x:c r="AO35" s="374" t="str">
        <x:f>IF($AP35="","",IF($AN35="세입없음","OK",IF(OR($AP35="재원확인",$AN35=""),"@@",IF(COUNTIF('3. 일입'!$AK$8:$AK$2000,$AN35),"OK","@@"))))</x:f>
        <x:v/>
      </x:c>
      <x:c r="AP35" s="356" t="str">
        <x:f t="shared" si="14"/>
        <x:v/>
      </x:c>
      <x:c r="AQ35" s="374" t="str">
        <x:f>IF(AND($AN35="",$AP35=""),"",IF(AND($AN35&lt;&gt;"",$AP35&lt;&gt;""),IF(AN35="세입없음","OK",IF(VLOOKUP($AN35,'3. 일입'!$AK$7:$AL$2000,2,FALSE)=$AP35,"OK","@@")),"@@"))</x:f>
        <x:v/>
      </x:c>
      <x:c r="AR35" s="93"/>
      <x:c r="AS35" s="533"/>
      <x:c r="AT35" s="374" t="str">
        <x:f>IF($AS35="","",IF($AS35="세입없음","OK",IF(COUNTIF('3. 일입'!$AN$8:$AN$2000,$AS35),"OK","@@")))</x:f>
        <x:v/>
      </x:c>
      <x:c r="AU35" s="356" t="str">
        <x:f t="shared" si="15"/>
        <x:v/>
      </x:c>
      <x:c r="AV35" s="374" t="str">
        <x:f t="shared" si="16"/>
        <x:v/>
      </x:c>
      <x:c r="AW35" s="93"/>
      <x:c r="AX35" s="348"/>
      <x:c r="AY35" s="29"/>
    </x:row>
    <x:row r="36" spans="1:51" s="20" customFormat="1" ht="80.099999999999994" customHeight="1">
      <x:c r="A36" s="155" t="str">
        <x:f>IF(D36="","",COUNTA($C$7:C36)-COUNTBLANK($C$7:C36)+2)</x:f>
        <x:v/>
      </x:c>
      <x:c r="B36" s="156" t="str">
        <x: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x:f>
        <x:v/>
      </x:c>
      <x:c r="C36" s="156" t="str">
        <x:f>IF(D36="","",IF(OR(D36="교육지원과",D36="총무과",D36="인사과"),"직접입력",VLOOKUP(D36,구분표!$A$3:$C$258,3,)))</x:f>
        <x:v/>
      </x:c>
      <x:c r="D36" s="219"/>
      <x:c r="E36" s="213"/>
      <x:c r="F36" s="388" t="str">
        <x:f t="shared" si="32"/>
        <x:v/>
      </x:c>
      <x:c r="G36" s="388" t="str">
        <x:f t="shared" si="32"/>
        <x:v/>
      </x:c>
      <x:c r="H36" s="213"/>
      <x:c r="I36" s="156" t="str">
        <x:f>IF(H36="","",VLOOKUP($H36,구분표!$K$3:$M$151,2,FALSE))</x:f>
        <x:v/>
      </x:c>
      <x:c r="J36" s="156" t="str">
        <x:f>IF(I36="","",VLOOKUP($H36,구분표!$K$3:$M$151,3,FALSE))</x:f>
        <x:v/>
      </x:c>
      <x:c r="K36" s="233"/>
      <x:c r="L36" s="233"/>
      <x:c r="M36" s="459" t="str">
        <x:f t="shared" si="33"/>
        <x:v/>
      </x:c>
      <x:c r="N36" s="459" t="str">
        <x:f t="shared" si="34"/>
        <x:v/>
      </x:c>
      <x:c r="O36" s="461" t="str">
        <x:f t="shared" si="27"/>
        <x:v/>
      </x:c>
      <x:c r="P36" s="460"/>
      <x:c r="Q36" s="461">
        <x:f t="shared" si="28"/>
        <x:v>0</x:v>
      </x:c>
      <x:c r="R36" s="462"/>
      <x:c r="S36" s="463">
        <x:f t="shared" si="29"/>
        <x:v>0</x:v>
      </x:c>
      <x:c r="T36" s="162" t="str">
        <x:f t="shared" si="30"/>
        <x:v>X</x:v>
      </x:c>
      <x:c r="U36" s="552"/>
      <x:c r="V36" s="331"/>
      <x:c r="W36" s="221"/>
      <x:c r="X36" s="223"/>
      <x:c r="Y36" s="334"/>
      <x:c r="Z36" s="334"/>
      <x:c r="AA36" s="29"/>
      <x:c r="AB36" s="486">
        <x:f t="shared" si="5"/>
        <x:v>0</x:v>
      </x:c>
      <x:c r="AC36" s="487">
        <x:f t="shared" si="31"/>
        <x:v>0</x:v>
      </x:c>
      <x:c r="AD36" s="487">
        <x:f t="shared" si="6"/>
        <x:v>0</x:v>
      </x:c>
      <x:c r="AE36" s="487">
        <x:f t="shared" si="7"/>
        <x:v>0</x:v>
      </x:c>
      <x:c r="AF36" s="374" t="str">
        <x:f t="shared" si="8"/>
        <x:v/>
      </x:c>
      <x:c r="AG36" s="93"/>
      <x:c r="AH36" s="488">
        <x:f t="shared" si="9"/>
        <x:v>0</x:v>
      </x:c>
      <x:c r="AI36" s="487">
        <x:f t="shared" si="10"/>
        <x:v>0</x:v>
      </x:c>
      <x:c r="AJ36" s="487">
        <x:f t="shared" si="11"/>
        <x:v>0</x:v>
      </x:c>
      <x:c r="AK36" s="487">
        <x:f t="shared" si="12"/>
        <x:v>0</x:v>
      </x:c>
      <x:c r="AL36" s="374" t="str">
        <x:f t="shared" si="13"/>
        <x:v/>
      </x:c>
      <x:c r="AM36" s="92"/>
      <x:c r="AN36" s="221"/>
      <x:c r="AO36" s="374" t="str">
        <x:f>IF($AP36="","",IF($AN36="세입없음","OK",IF(OR($AP36="재원확인",$AN36=""),"@@",IF(COUNTIF('3. 일입'!$AK$8:$AK$2000,$AN36),"OK","@@"))))</x:f>
        <x:v/>
      </x:c>
      <x:c r="AP36" s="356" t="str">
        <x:f t="shared" si="14"/>
        <x:v/>
      </x:c>
      <x:c r="AQ36" s="374" t="str">
        <x:f>IF(AND($AN36="",$AP36=""),"",IF(AND($AN36&lt;&gt;"",$AP36&lt;&gt;""),IF(AN36="세입없음","OK",IF(VLOOKUP($AN36,'3. 일입'!$AK$7:$AL$2000,2,FALSE)=$AP36,"OK","@@")),"@@"))</x:f>
        <x:v/>
      </x:c>
      <x:c r="AR36" s="93"/>
      <x:c r="AS36" s="533"/>
      <x:c r="AT36" s="374" t="str">
        <x:f>IF($AS36="","",IF($AS36="세입없음","OK",IF(COUNTIF('3. 일입'!$AN$8:$AN$2000,$AS36),"OK","@@")))</x:f>
        <x:v/>
      </x:c>
      <x:c r="AU36" s="356" t="str">
        <x:f t="shared" si="15"/>
        <x:v/>
      </x:c>
      <x:c r="AV36" s="374" t="str">
        <x:f t="shared" si="16"/>
        <x:v/>
      </x:c>
      <x:c r="AW36" s="93"/>
      <x:c r="AX36" s="348"/>
      <x:c r="AY36" s="29"/>
    </x:row>
    <x:row r="37" spans="1:51" s="20" customFormat="1" ht="80.099999999999994" customHeight="1">
      <x:c r="A37" s="155" t="str">
        <x:f>IF(D37="","",COUNTA($C$7:C37)-COUNTBLANK($C$7:C37)+2)</x:f>
        <x:v/>
      </x:c>
      <x:c r="B37" s="156" t="str">
        <x: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x:f>
        <x:v/>
      </x:c>
      <x:c r="C37" s="156" t="str">
        <x:f>IF(D37="","",IF(OR(D37="교육지원과",D37="총무과",D37="인사과"),"직접입력",VLOOKUP(D37,구분표!$A$3:$C$258,3,)))</x:f>
        <x:v/>
      </x:c>
      <x:c r="D37" s="219"/>
      <x:c r="E37" s="213"/>
      <x:c r="F37" s="388" t="str">
        <x:f t="shared" si="32"/>
        <x:v/>
      </x:c>
      <x:c r="G37" s="388" t="str">
        <x:f t="shared" si="32"/>
        <x:v/>
      </x:c>
      <x:c r="H37" s="213"/>
      <x:c r="I37" s="156" t="str">
        <x:f>IF(H37="","",VLOOKUP($H37,구분표!$K$3:$M$151,2,FALSE))</x:f>
        <x:v/>
      </x:c>
      <x:c r="J37" s="156" t="str">
        <x:f>IF(I37="","",VLOOKUP($H37,구분표!$K$3:$M$151,3,FALSE))</x:f>
        <x:v/>
      </x:c>
      <x:c r="K37" s="233"/>
      <x:c r="L37" s="233"/>
      <x:c r="M37" s="459" t="str">
        <x:f t="shared" si="33"/>
        <x:v/>
      </x:c>
      <x:c r="N37" s="459" t="str">
        <x:f t="shared" si="34"/>
        <x:v/>
      </x:c>
      <x:c r="O37" s="461" t="str">
        <x:f t="shared" si="27"/>
        <x:v/>
      </x:c>
      <x:c r="P37" s="460"/>
      <x:c r="Q37" s="461">
        <x:f t="shared" si="28"/>
        <x:v>0</x:v>
      </x:c>
      <x:c r="R37" s="462"/>
      <x:c r="S37" s="463">
        <x:f t="shared" si="29"/>
        <x:v>0</x:v>
      </x:c>
      <x:c r="T37" s="162" t="str">
        <x:f t="shared" si="30"/>
        <x:v>X</x:v>
      </x:c>
      <x:c r="U37" s="552"/>
      <x:c r="V37" s="331"/>
      <x:c r="W37" s="221"/>
      <x:c r="X37" s="223"/>
      <x:c r="Y37" s="334"/>
      <x:c r="Z37" s="334"/>
      <x:c r="AA37" s="29"/>
      <x:c r="AB37" s="486">
        <x:f t="shared" si="5"/>
        <x:v>0</x:v>
      </x:c>
      <x:c r="AC37" s="487">
        <x:f t="shared" si="31"/>
        <x:v>0</x:v>
      </x:c>
      <x:c r="AD37" s="487">
        <x:f t="shared" si="6"/>
        <x:v>0</x:v>
      </x:c>
      <x:c r="AE37" s="487">
        <x:f t="shared" si="7"/>
        <x:v>0</x:v>
      </x:c>
      <x:c r="AF37" s="374" t="str">
        <x:f t="shared" si="8"/>
        <x:v/>
      </x:c>
      <x:c r="AG37" s="93"/>
      <x:c r="AH37" s="488">
        <x:f t="shared" si="9"/>
        <x:v>0</x:v>
      </x:c>
      <x:c r="AI37" s="487">
        <x:f t="shared" si="10"/>
        <x:v>0</x:v>
      </x:c>
      <x:c r="AJ37" s="487">
        <x:f t="shared" si="11"/>
        <x:v>0</x:v>
      </x:c>
      <x:c r="AK37" s="487">
        <x:f t="shared" si="12"/>
        <x:v>0</x:v>
      </x:c>
      <x:c r="AL37" s="374" t="str">
        <x:f t="shared" si="13"/>
        <x:v/>
      </x:c>
      <x:c r="AM37" s="92"/>
      <x:c r="AN37" s="221"/>
      <x:c r="AO37" s="374" t="str">
        <x:f>IF($AP37="","",IF($AN37="세입없음","OK",IF(OR($AP37="재원확인",$AN37=""),"@@",IF(COUNTIF('3. 일입'!$AK$8:$AK$2000,$AN37),"OK","@@"))))</x:f>
        <x:v/>
      </x:c>
      <x:c r="AP37" s="356" t="str">
        <x:f t="shared" si="14"/>
        <x:v/>
      </x:c>
      <x:c r="AQ37" s="374" t="str">
        <x:f>IF(AND($AN37="",$AP37=""),"",IF(AND($AN37&lt;&gt;"",$AP37&lt;&gt;""),IF(AN37="세입없음","OK",IF(VLOOKUP($AN37,'3. 일입'!$AK$7:$AL$2000,2,FALSE)=$AP37,"OK","@@")),"@@"))</x:f>
        <x:v/>
      </x:c>
      <x:c r="AR37" s="93"/>
      <x:c r="AS37" s="533"/>
      <x:c r="AT37" s="374" t="str">
        <x:f>IF($AS37="","",IF($AS37="세입없음","OK",IF(COUNTIF('3. 일입'!$AN$8:$AN$2000,$AS37),"OK","@@")))</x:f>
        <x:v/>
      </x:c>
      <x:c r="AU37" s="356" t="str">
        <x:f t="shared" si="15"/>
        <x:v/>
      </x:c>
      <x:c r="AV37" s="374" t="str">
        <x:f t="shared" si="16"/>
        <x:v/>
      </x:c>
      <x:c r="AW37" s="93"/>
      <x:c r="AX37" s="348"/>
      <x:c r="AY37" s="29"/>
    </x:row>
    <x:row r="38" spans="1:51" s="20" customFormat="1" ht="80.099999999999994" customHeight="1">
      <x:c r="A38" s="155" t="str">
        <x:f>IF(D38="","",COUNTA($C$7:C38)-COUNTBLANK($C$7:C38)+2)</x:f>
        <x:v/>
      </x:c>
      <x:c r="B38" s="156" t="str">
        <x: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x:f>
        <x:v/>
      </x:c>
      <x:c r="C38" s="156" t="str">
        <x:f>IF(D38="","",IF(OR(D38="교육지원과",D38="총무과",D38="인사과"),"직접입력",VLOOKUP(D38,구분표!$A$3:$C$258,3,)))</x:f>
        <x:v/>
      </x:c>
      <x:c r="D38" s="219"/>
      <x:c r="E38" s="213"/>
      <x:c r="F38" s="388" t="str">
        <x:f t="shared" si="32"/>
        <x:v/>
      </x:c>
      <x:c r="G38" s="388" t="str">
        <x:f t="shared" si="32"/>
        <x:v/>
      </x:c>
      <x:c r="H38" s="213"/>
      <x:c r="I38" s="156" t="str">
        <x:f>IF(H38="","",VLOOKUP($H38,구분표!$K$3:$M$151,2,FALSE))</x:f>
        <x:v/>
      </x:c>
      <x:c r="J38" s="156" t="str">
        <x:f>IF(I38="","",VLOOKUP($H38,구분표!$K$3:$M$151,3,FALSE))</x:f>
        <x:v/>
      </x:c>
      <x:c r="K38" s="233"/>
      <x:c r="L38" s="233"/>
      <x:c r="M38" s="459" t="str">
        <x:f t="shared" si="33"/>
        <x:v/>
      </x:c>
      <x:c r="N38" s="459" t="str">
        <x:f t="shared" si="34"/>
        <x:v/>
      </x:c>
      <x:c r="O38" s="461" t="str">
        <x:f t="shared" si="27"/>
        <x:v/>
      </x:c>
      <x:c r="P38" s="460"/>
      <x:c r="Q38" s="461">
        <x:f t="shared" si="28"/>
        <x:v>0</x:v>
      </x:c>
      <x:c r="R38" s="462"/>
      <x:c r="S38" s="463">
        <x:f t="shared" si="29"/>
        <x:v>0</x:v>
      </x:c>
      <x:c r="T38" s="162" t="str">
        <x:f t="shared" si="30"/>
        <x:v>X</x:v>
      </x:c>
      <x:c r="U38" s="552"/>
      <x:c r="V38" s="331"/>
      <x:c r="W38" s="221"/>
      <x:c r="X38" s="223"/>
      <x:c r="Y38" s="334"/>
      <x:c r="Z38" s="334"/>
      <x:c r="AA38" s="29"/>
      <x:c r="AB38" s="486">
        <x:f t="shared" si="5"/>
        <x:v>0</x:v>
      </x:c>
      <x:c r="AC38" s="487">
        <x:f t="shared" si="31"/>
        <x:v>0</x:v>
      </x:c>
      <x:c r="AD38" s="487">
        <x:f t="shared" si="6"/>
        <x:v>0</x:v>
      </x:c>
      <x:c r="AE38" s="487">
        <x:f t="shared" si="7"/>
        <x:v>0</x:v>
      </x:c>
      <x:c r="AF38" s="374" t="str">
        <x:f t="shared" si="8"/>
        <x:v/>
      </x:c>
      <x:c r="AG38" s="93"/>
      <x:c r="AH38" s="488">
        <x:f t="shared" si="9"/>
        <x:v>0</x:v>
      </x:c>
      <x:c r="AI38" s="487">
        <x:f t="shared" si="10"/>
        <x:v>0</x:v>
      </x:c>
      <x:c r="AJ38" s="487">
        <x:f t="shared" si="11"/>
        <x:v>0</x:v>
      </x:c>
      <x:c r="AK38" s="487">
        <x:f t="shared" si="12"/>
        <x:v>0</x:v>
      </x:c>
      <x:c r="AL38" s="374" t="str">
        <x:f t="shared" si="13"/>
        <x:v/>
      </x:c>
      <x:c r="AM38" s="92"/>
      <x:c r="AN38" s="221"/>
      <x:c r="AO38" s="374" t="str">
        <x:f>IF($AP38="","",IF($AN38="세입없음","OK",IF(OR($AP38="재원확인",$AN38=""),"@@",IF(COUNTIF('3. 일입'!$AK$8:$AK$2000,$AN38),"OK","@@"))))</x:f>
        <x:v/>
      </x:c>
      <x:c r="AP38" s="356" t="str">
        <x:f t="shared" si="14"/>
        <x:v/>
      </x:c>
      <x:c r="AQ38" s="374" t="str">
        <x:f>IF(AND($AN38="",$AP38=""),"",IF(AND($AN38&lt;&gt;"",$AP38&lt;&gt;""),IF(AN38="세입없음","OK",IF(VLOOKUP($AN38,'3. 일입'!$AK$7:$AL$2000,2,FALSE)=$AP38,"OK","@@")),"@@"))</x:f>
        <x:v/>
      </x:c>
      <x:c r="AR38" s="93"/>
      <x:c r="AS38" s="533"/>
      <x:c r="AT38" s="374" t="str">
        <x:f>IF($AS38="","",IF($AS38="세입없음","OK",IF(COUNTIF('3. 일입'!$AN$8:$AN$2000,$AS38),"OK","@@")))</x:f>
        <x:v/>
      </x:c>
      <x:c r="AU38" s="356" t="str">
        <x:f t="shared" si="15"/>
        <x:v/>
      </x:c>
      <x:c r="AV38" s="374" t="str">
        <x:f t="shared" si="16"/>
        <x:v/>
      </x:c>
      <x:c r="AW38" s="93"/>
      <x:c r="AX38" s="348"/>
      <x:c r="AY38" s="29"/>
    </x:row>
    <x:row r="39" spans="1:51" s="345" customFormat="1" ht="60" customHeight="1">
      <x:c r="A39" s="337"/>
      <x:c r="B39" s="985" t="s">
        <x:v>1538</x:v>
      </x:c>
      <x:c r="C39" s="986"/>
      <x:c r="D39" s="986"/>
      <x:c r="E39" s="986"/>
      <x:c r="F39" s="986"/>
      <x:c r="G39" s="987"/>
      <x:c r="H39" s="338"/>
      <x:c r="I39" s="359"/>
      <x:c r="J39" s="359"/>
      <x:c r="K39" s="339"/>
      <x:c r="L39" s="340" t="str">
        <x:f>SUBTOTAL(3,$L40:$L54)&amp;"건"</x:f>
        <x:v>0건</x:v>
      </x:c>
      <x:c r="M39" s="476">
        <x:f t="shared" ref="M39:N39" si="35">SUBTOTAL(9,M40:M54)</x:f>
        <x:v>0</x:v>
      </x:c>
      <x:c r="N39" s="476">
        <x:f t="shared" si="35"/>
        <x:v>0</x:v>
      </x:c>
      <x:c r="O39" s="482">
        <x:f t="shared" ref="O39:S39" si="36">SUBTOTAL(9,O40:O54)</x:f>
        <x:v>0</x:v>
      </x:c>
      <x:c r="P39" s="482">
        <x:f t="shared" si="36"/>
        <x:v>0</x:v>
      </x:c>
      <x:c r="Q39" s="482">
        <x:f t="shared" si="36"/>
        <x:v>0</x:v>
      </x:c>
      <x:c r="R39" s="482">
        <x:f t="shared" si="36"/>
        <x:v>0</x:v>
      </x:c>
      <x:c r="S39" s="482">
        <x:f t="shared" si="36"/>
        <x:v>0</x:v>
      </x:c>
      <x:c r="T39" s="337"/>
      <x:c r="U39" s="551"/>
      <x:c r="V39" s="341"/>
      <x:c r="W39" s="342"/>
      <x:c r="X39" s="343"/>
      <x:c r="Y39" s="343"/>
      <x:c r="Z39" s="343"/>
      <x:c r="AA39" s="344"/>
      <x:c r="AB39" s="483">
        <x:f>SUBTOTAL(9,AB40:AB54)</x:f>
        <x:v>0</x:v>
      </x:c>
      <x:c r="AC39" s="483">
        <x:f>SUBTOTAL(9,AC40:AC54)</x:f>
        <x:v>0</x:v>
      </x:c>
      <x:c r="AD39" s="483">
        <x:f>SUBTOTAL(9,AD40:AD54)</x:f>
        <x:v>0</x:v>
      </x:c>
      <x:c r="AE39" s="483">
        <x:f>SUBTOTAL(9,AE40:AE54)</x:f>
        <x:v>0</x:v>
      </x:c>
      <x:c r="AF39" s="554" t="str">
        <x:f>IF(COUNTIF(AF40:AF54,"@@")&gt;0,"@@","OK")</x:f>
        <x:v>OK</x:v>
      </x:c>
      <x:c r="AG39" s="344"/>
      <x:c r="AH39" s="483">
        <x:f>SUBTOTAL(9,AH40:AH54)</x:f>
        <x:v>0</x:v>
      </x:c>
      <x:c r="AI39" s="483">
        <x:f>SUBTOTAL(9,AI40:AI54)</x:f>
        <x:v>0</x:v>
      </x:c>
      <x:c r="AJ39" s="483">
        <x:f>SUBTOTAL(9,AJ40:AJ54)</x:f>
        <x:v>0</x:v>
      </x:c>
      <x:c r="AK39" s="483">
        <x:f>SUBTOTAL(9,AK40:AK54)</x:f>
        <x:v>0</x:v>
      </x:c>
      <x:c r="AL39" s="554" t="str">
        <x:f>IF(COUNTIF(AL40:AL54,"@@")&gt;0,"@@","OK")</x:f>
        <x:v>OK</x:v>
      </x:c>
      <x:c r="AM39" s="344"/>
      <x:c r="AN39" s="343"/>
      <x:c r="AO39" s="554" t="str">
        <x:f>IF(COUNTIF(AO40:AO54,"@@")&gt;0,"@@","OK")</x:f>
        <x:v>OK</x:v>
      </x:c>
      <x:c r="AP39" s="343"/>
      <x:c r="AQ39" s="554" t="str">
        <x:f>IF(COUNTIF(AQ40:AQ54,"@@")&gt;0,"@@","OK")</x:f>
        <x:v>OK</x:v>
      </x:c>
      <x:c r="AR39" s="344"/>
      <x:c r="AS39" s="343"/>
      <x:c r="AT39" s="554" t="str">
        <x:f>IF(COUNTIF(AT40:AT54,"@@")&gt;0,"@@","OK")</x:f>
        <x:v>OK</x:v>
      </x:c>
      <x:c r="AU39" s="343"/>
      <x:c r="AV39" s="554" t="str">
        <x:f>IF(COUNTIF(AV40:AV54,"@@")&gt;0,"@@","OK")</x:f>
        <x:v>OK</x:v>
      </x:c>
      <x:c r="AW39" s="344"/>
      <x:c r="AX39" s="343"/>
      <x:c r="AY39" s="344"/>
    </x:row>
    <x:row r="40" spans="1:51" ht="80.099999999999994" customHeight="1">
      <x:c r="A40" s="155" t="str">
        <x:f>IF(D40="","",COUNTA($C$7:C40)-COUNTBLANK($C$7:C40)+3)</x:f>
        <x:v/>
      </x:c>
      <x:c r="B40" s="156" t="str">
        <x: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x:f>
        <x:v/>
      </x:c>
      <x:c r="C40" s="156" t="str">
        <x:f>IF(D40="","",IF(OR(D40="교육지원과",D40="총무과",D40="인사과"),"직접입력",VLOOKUP(D40,구분표!$A$3:$C$258,3,)))</x:f>
        <x:v/>
      </x:c>
      <x:c r="D40" s="219"/>
      <x:c r="E40" s="213"/>
      <x:c r="F40" s="388" t="str">
        <x:f>IF($E40="","",IF($E40="2추","직접입력","-"))</x:f>
        <x:v/>
      </x:c>
      <x:c r="G40" s="388" t="str">
        <x:f>IF($E40="","",IF($E40="2추","직접입력","-"))</x:f>
        <x:v/>
      </x:c>
      <x:c r="H40" s="213"/>
      <x:c r="I40" s="156" t="str">
        <x:f>IF(H40="","",VLOOKUP($H40,구분표!$K$3:$M$151,2,FALSE))</x:f>
        <x:v/>
      </x:c>
      <x:c r="J40" s="156" t="str">
        <x:f>IF(I40="","",VLOOKUP($H40,구분표!$K$3:$M$151,3,FALSE))</x:f>
        <x:v/>
      </x:c>
      <x:c r="K40" s="233"/>
      <x:c r="L40" s="233"/>
      <x:c r="M40" s="459" t="str">
        <x:f>IF($E40="","",IF(OR($E40="2추",$E40="1추",$E40="본예산"),"금액입력","-"))</x:f>
        <x:v/>
      </x:c>
      <x:c r="N40" s="459" t="str">
        <x:f>IF($E40="","",IF($E40="2추","금액입력","-"))</x:f>
        <x:v/>
      </x:c>
      <x:c r="O40" s="461" t="str">
        <x:f t="shared" ref="O40:O54" si="37">IF($E40="","",SUM(M40:N40))</x:f>
        <x:v/>
      </x:c>
      <x:c r="P40" s="460"/>
      <x:c r="Q40" s="461">
        <x:f t="shared" ref="Q40:Q54" si="38">SUM(O40:P40)</x:f>
        <x:v>0</x:v>
      </x:c>
      <x:c r="R40" s="462"/>
      <x:c r="S40" s="463">
        <x:f t="shared" ref="S40:S54" si="39">SUM(O40,R40)</x:f>
        <x:v>0</x:v>
      </x:c>
      <x:c r="T40" s="162" t="str">
        <x:f t="shared" ref="T40:T54" si="40">IF(AND((Q40=0),(S40&gt;0)),"O",IF(AND((P40&lt;0),(Q40-S40&lt;0)),"O","X"))</x:f>
        <x:v>X</x:v>
      </x:c>
      <x:c r="U40" s="552"/>
      <x:c r="V40" s="331"/>
      <x:c r="W40" s="221"/>
      <x:c r="X40" s="223"/>
      <x:c r="Y40" s="334"/>
      <x:c r="Z40" s="334"/>
      <x:c r="AA40" s="29"/>
      <x:c r="AB40" s="486">
        <x:f t="shared" si="5"/>
        <x:v>0</x:v>
      </x:c>
      <x:c r="AC40" s="487">
        <x:f t="shared" ref="AC40:AC54" si="41">IF($P40="",0,IF(AND(ISNUMBER($AB40),ISNUMBER(AD40),ISNUMBER(AE40)),$P40-$AB40-$AD40-$AE40,0))</x:f>
        <x:v>0</x:v>
      </x:c>
      <x:c r="AD40" s="487">
        <x:f t="shared" si="6"/>
        <x:v>0</x:v>
      </x:c>
      <x:c r="AE40" s="487">
        <x:f t="shared" si="7"/>
        <x:v>0</x:v>
      </x:c>
      <x:c r="AF40" s="374" t="str">
        <x:f t="shared" si="8"/>
        <x:v/>
      </x:c>
      <x:c r="AG40" s="93"/>
      <x:c r="AH40" s="488">
        <x:f t="shared" si="9"/>
        <x:v>0</x:v>
      </x:c>
      <x:c r="AI40" s="487">
        <x:f t="shared" si="10"/>
        <x:v>0</x:v>
      </x:c>
      <x:c r="AJ40" s="487">
        <x:f t="shared" si="11"/>
        <x:v>0</x:v>
      </x:c>
      <x:c r="AK40" s="487">
        <x:f t="shared" si="12"/>
        <x:v>0</x:v>
      </x:c>
      <x:c r="AL40" s="374" t="str">
        <x:f t="shared" si="13"/>
        <x:v/>
      </x:c>
      <x:c r="AM40" s="92"/>
      <x:c r="AN40" s="221"/>
      <x:c r="AO40" s="374" t="str">
        <x:f>IF($AP40="","",IF($AN40="세입없음","OK",IF(OR($AP40="재원확인",$AN40=""),"@@",IF(COUNTIF('3. 일입'!$AK$8:$AK$2000,$AN40),"OK","@@"))))</x:f>
        <x:v/>
      </x:c>
      <x:c r="AP40" s="356" t="str">
        <x:f t="shared" si="14"/>
        <x:v/>
      </x:c>
      <x:c r="AQ40" s="374" t="str">
        <x:f>IF(AND($AN40="",$AP40=""),"",IF(AND($AN40&lt;&gt;"",$AP40&lt;&gt;""),IF(AN40="세입없음","OK",IF(VLOOKUP($AN40,'3. 일입'!$AK$7:$AL$2000,2,FALSE)=$AP40,"OK","@@")),"@@"))</x:f>
        <x:v/>
      </x:c>
      <x:c r="AR40" s="93"/>
      <x:c r="AS40" s="533"/>
      <x:c r="AT40" s="374" t="str">
        <x:f>IF($AS40="","",IF($AS40="세입없음","OK",IF(COUNTIF('3. 일입'!$AN$8:$AN$2000,$AS40),"OK","@@")))</x:f>
        <x:v/>
      </x:c>
      <x:c r="AU40" s="356" t="str">
        <x:f t="shared" si="15"/>
        <x:v/>
      </x:c>
      <x:c r="AV40" s="374" t="str">
        <x:f t="shared" si="16"/>
        <x:v/>
      </x:c>
      <x:c r="AW40" s="93"/>
      <x:c r="AX40" s="348"/>
      <x:c r="AY40" s="28"/>
    </x:row>
    <x:row r="41" spans="1:51" s="20" customFormat="1" ht="80.099999999999994" customHeight="1">
      <x:c r="A41" s="155" t="str">
        <x:f>IF(D41="","",COUNTA($C$7:C41)-COUNTBLANK($C$7:C41)+3)</x:f>
        <x:v/>
      </x:c>
      <x:c r="B41" s="156" t="str">
        <x: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x:f>
        <x:v/>
      </x:c>
      <x:c r="C41" s="156" t="str">
        <x:f>IF(D41="","",IF(OR(D41="교육지원과",D41="총무과",D41="인사과"),"직접입력",VLOOKUP(D41,구분표!$A$3:$C$258,3,)))</x:f>
        <x:v/>
      </x:c>
      <x:c r="D41" s="219"/>
      <x:c r="E41" s="213"/>
      <x:c r="F41" s="388" t="str">
        <x:f t="shared" ref="F41:G54" si="42">IF($E41="","",IF($E41="2추","직접입력","-"))</x:f>
        <x:v/>
      </x:c>
      <x:c r="G41" s="388" t="str">
        <x:f t="shared" si="42"/>
        <x:v/>
      </x:c>
      <x:c r="H41" s="213"/>
      <x:c r="I41" s="156" t="str">
        <x:f>IF(H41="","",VLOOKUP($H41,구분표!$K$3:$M$151,2,FALSE))</x:f>
        <x:v/>
      </x:c>
      <x:c r="J41" s="156" t="str">
        <x:f>IF(I41="","",VLOOKUP($H41,구분표!$K$3:$M$151,3,FALSE))</x:f>
        <x:v/>
      </x:c>
      <x:c r="K41" s="233"/>
      <x:c r="L41" s="233"/>
      <x:c r="M41" s="459" t="str">
        <x:f t="shared" ref="M41:M54" si="43">IF($E41="","",IF(OR($E41="2추",$E41="1추",$E41="본예산"),"금액입력","-"))</x:f>
        <x:v/>
      </x:c>
      <x:c r="N41" s="459" t="str">
        <x:f t="shared" ref="N41:N54" si="44">IF($E41="","",IF($E41="2추","금액입력","-"))</x:f>
        <x:v/>
      </x:c>
      <x:c r="O41" s="461" t="str">
        <x:f t="shared" si="37"/>
        <x:v/>
      </x:c>
      <x:c r="P41" s="460"/>
      <x:c r="Q41" s="461">
        <x:f t="shared" si="38"/>
        <x:v>0</x:v>
      </x:c>
      <x:c r="R41" s="462"/>
      <x:c r="S41" s="463">
        <x:f t="shared" si="39"/>
        <x:v>0</x:v>
      </x:c>
      <x:c r="T41" s="162" t="str">
        <x:f t="shared" si="40"/>
        <x:v>X</x:v>
      </x:c>
      <x:c r="U41" s="552"/>
      <x:c r="V41" s="331"/>
      <x:c r="W41" s="221"/>
      <x:c r="X41" s="223"/>
      <x:c r="Y41" s="334"/>
      <x:c r="Z41" s="334"/>
      <x:c r="AA41" s="29"/>
      <x:c r="AB41" s="486">
        <x:f t="shared" si="5"/>
        <x:v>0</x:v>
      </x:c>
      <x:c r="AC41" s="487">
        <x:f t="shared" si="41"/>
        <x:v>0</x:v>
      </x:c>
      <x:c r="AD41" s="487">
        <x:f t="shared" si="6"/>
        <x:v>0</x:v>
      </x:c>
      <x:c r="AE41" s="487">
        <x:f t="shared" si="7"/>
        <x:v>0</x:v>
      </x:c>
      <x:c r="AF41" s="374" t="str">
        <x:f t="shared" si="8"/>
        <x:v/>
      </x:c>
      <x:c r="AG41" s="93"/>
      <x:c r="AH41" s="488">
        <x:f t="shared" si="9"/>
        <x:v>0</x:v>
      </x:c>
      <x:c r="AI41" s="487">
        <x:f t="shared" si="10"/>
        <x:v>0</x:v>
      </x:c>
      <x:c r="AJ41" s="487">
        <x:f t="shared" si="11"/>
        <x:v>0</x:v>
      </x:c>
      <x:c r="AK41" s="487">
        <x:f t="shared" si="12"/>
        <x:v>0</x:v>
      </x:c>
      <x:c r="AL41" s="374" t="str">
        <x:f t="shared" si="13"/>
        <x:v/>
      </x:c>
      <x:c r="AM41" s="92"/>
      <x:c r="AN41" s="221"/>
      <x:c r="AO41" s="374" t="str">
        <x:f>IF($AP41="","",IF($AN41="세입없음","OK",IF(OR($AP41="재원확인",$AN41=""),"@@",IF(COUNTIF('3. 일입'!$AK$8:$AK$2000,$AN41),"OK","@@"))))</x:f>
        <x:v/>
      </x:c>
      <x:c r="AP41" s="356" t="str">
        <x:f t="shared" si="14"/>
        <x:v/>
      </x:c>
      <x:c r="AQ41" s="374" t="str">
        <x:f>IF(AND($AN41="",$AP41=""),"",IF(AND($AN41&lt;&gt;"",$AP41&lt;&gt;""),IF(AN41="세입없음","OK",IF(VLOOKUP($AN41,'3. 일입'!$AK$7:$AL$2000,2,FALSE)=$AP41,"OK","@@")),"@@"))</x:f>
        <x:v/>
      </x:c>
      <x:c r="AR41" s="93"/>
      <x:c r="AS41" s="533"/>
      <x:c r="AT41" s="374" t="str">
        <x:f>IF($AS41="","",IF($AS41="세입없음","OK",IF(COUNTIF('3. 일입'!$AN$8:$AN$2000,$AS41),"OK","@@")))</x:f>
        <x:v/>
      </x:c>
      <x:c r="AU41" s="356" t="str">
        <x:f t="shared" si="15"/>
        <x:v/>
      </x:c>
      <x:c r="AV41" s="374" t="str">
        <x:f t="shared" si="16"/>
        <x:v/>
      </x:c>
      <x:c r="AW41" s="93"/>
      <x:c r="AX41" s="348"/>
      <x:c r="AY41" s="29"/>
    </x:row>
    <x:row r="42" spans="1:51" s="20" customFormat="1" ht="80.099999999999994" customHeight="1">
      <x:c r="A42" s="155" t="str">
        <x:f>IF(D42="","",COUNTA($C$7:C42)-COUNTBLANK($C$7:C42)+3)</x:f>
        <x:v/>
      </x:c>
      <x:c r="B42" s="156" t="str">
        <x: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x:f>
        <x:v/>
      </x:c>
      <x:c r="C42" s="156" t="str">
        <x:f>IF(D42="","",IF(OR(D42="교육지원과",D42="총무과",D42="인사과"),"직접입력",VLOOKUP(D42,구분표!$A$3:$C$258,3,)))</x:f>
        <x:v/>
      </x:c>
      <x:c r="D42" s="219"/>
      <x:c r="E42" s="213"/>
      <x:c r="F42" s="388" t="str">
        <x:f t="shared" si="42"/>
        <x:v/>
      </x:c>
      <x:c r="G42" s="388" t="str">
        <x:f t="shared" si="42"/>
        <x:v/>
      </x:c>
      <x:c r="H42" s="213"/>
      <x:c r="I42" s="156" t="str">
        <x:f>IF(H42="","",VLOOKUP($H42,구분표!$K$3:$M$151,2,FALSE))</x:f>
        <x:v/>
      </x:c>
      <x:c r="J42" s="156" t="str">
        <x:f>IF(I42="","",VLOOKUP($H42,구분표!$K$3:$M$151,3,FALSE))</x:f>
        <x:v/>
      </x:c>
      <x:c r="K42" s="233"/>
      <x:c r="L42" s="233"/>
      <x:c r="M42" s="459" t="str">
        <x:f t="shared" si="43"/>
        <x:v/>
      </x:c>
      <x:c r="N42" s="459" t="str">
        <x:f t="shared" si="44"/>
        <x:v/>
      </x:c>
      <x:c r="O42" s="461" t="str">
        <x:f t="shared" si="37"/>
        <x:v/>
      </x:c>
      <x:c r="P42" s="460"/>
      <x:c r="Q42" s="461">
        <x:f t="shared" si="38"/>
        <x:v>0</x:v>
      </x:c>
      <x:c r="R42" s="462"/>
      <x:c r="S42" s="463">
        <x:f t="shared" si="39"/>
        <x:v>0</x:v>
      </x:c>
      <x:c r="T42" s="162" t="str">
        <x:f t="shared" si="40"/>
        <x:v>X</x:v>
      </x:c>
      <x:c r="U42" s="552"/>
      <x:c r="V42" s="331"/>
      <x:c r="W42" s="221"/>
      <x:c r="X42" s="223"/>
      <x:c r="Y42" s="334"/>
      <x:c r="Z42" s="334"/>
      <x:c r="AA42" s="29"/>
      <x:c r="AB42" s="486">
        <x:f t="shared" si="5"/>
        <x:v>0</x:v>
      </x:c>
      <x:c r="AC42" s="487">
        <x:f t="shared" si="41"/>
        <x:v>0</x:v>
      </x:c>
      <x:c r="AD42" s="487">
        <x:f t="shared" si="6"/>
        <x:v>0</x:v>
      </x:c>
      <x:c r="AE42" s="487">
        <x:f t="shared" si="7"/>
        <x:v>0</x:v>
      </x:c>
      <x:c r="AF42" s="374" t="str">
        <x:f t="shared" si="8"/>
        <x:v/>
      </x:c>
      <x:c r="AG42" s="93"/>
      <x:c r="AH42" s="488">
        <x:f t="shared" si="9"/>
        <x:v>0</x:v>
      </x:c>
      <x:c r="AI42" s="487">
        <x:f t="shared" si="10"/>
        <x:v>0</x:v>
      </x:c>
      <x:c r="AJ42" s="487">
        <x:f t="shared" si="11"/>
        <x:v>0</x:v>
      </x:c>
      <x:c r="AK42" s="487">
        <x:f t="shared" si="12"/>
        <x:v>0</x:v>
      </x:c>
      <x:c r="AL42" s="374" t="str">
        <x:f t="shared" si="13"/>
        <x:v/>
      </x:c>
      <x:c r="AM42" s="92"/>
      <x:c r="AN42" s="221"/>
      <x:c r="AO42" s="374" t="str">
        <x:f>IF($AP42="","",IF($AN42="세입없음","OK",IF(OR($AP42="재원확인",$AN42=""),"@@",IF(COUNTIF('3. 일입'!$AK$8:$AK$2000,$AN42),"OK","@@"))))</x:f>
        <x:v/>
      </x:c>
      <x:c r="AP42" s="356" t="str">
        <x:f t="shared" si="14"/>
        <x:v/>
      </x:c>
      <x:c r="AQ42" s="374" t="str">
        <x:f>IF(AND($AN42="",$AP42=""),"",IF(AND($AN42&lt;&gt;"",$AP42&lt;&gt;""),IF(AN42="세입없음","OK",IF(VLOOKUP($AN42,'3. 일입'!$AK$7:$AL$2000,2,FALSE)=$AP42,"OK","@@")),"@@"))</x:f>
        <x:v/>
      </x:c>
      <x:c r="AR42" s="93"/>
      <x:c r="AS42" s="533"/>
      <x:c r="AT42" s="374" t="str">
        <x:f>IF($AS42="","",IF($AS42="세입없음","OK",IF(COUNTIF('3. 일입'!$AN$8:$AN$2000,$AS42),"OK","@@")))</x:f>
        <x:v/>
      </x:c>
      <x:c r="AU42" s="356" t="str">
        <x:f t="shared" si="15"/>
        <x:v/>
      </x:c>
      <x:c r="AV42" s="374" t="str">
        <x:f t="shared" si="16"/>
        <x:v/>
      </x:c>
      <x:c r="AW42" s="93"/>
      <x:c r="AX42" s="348"/>
      <x:c r="AY42" s="29"/>
    </x:row>
    <x:row r="43" spans="1:51" s="20" customFormat="1" ht="80.099999999999994" customHeight="1">
      <x:c r="A43" s="155" t="str">
        <x:f>IF(D43="","",COUNTA($C$7:C43)-COUNTBLANK($C$7:C43)+3)</x:f>
        <x:v/>
      </x:c>
      <x:c r="B43" s="156" t="str">
        <x: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x:f>
        <x:v/>
      </x:c>
      <x:c r="C43" s="156" t="str">
        <x:f>IF(D43="","",IF(OR(D43="교육지원과",D43="총무과",D43="인사과"),"직접입력",VLOOKUP(D43,구분표!$A$3:$C$258,3,)))</x:f>
        <x:v/>
      </x:c>
      <x:c r="D43" s="219"/>
      <x:c r="E43" s="213"/>
      <x:c r="F43" s="388" t="str">
        <x:f t="shared" si="42"/>
        <x:v/>
      </x:c>
      <x:c r="G43" s="388" t="str">
        <x:f t="shared" si="42"/>
        <x:v/>
      </x:c>
      <x:c r="H43" s="213"/>
      <x:c r="I43" s="156" t="str">
        <x:f>IF(H43="","",VLOOKUP($H43,구분표!$K$3:$M$151,2,FALSE))</x:f>
        <x:v/>
      </x:c>
      <x:c r="J43" s="156" t="str">
        <x:f>IF(I43="","",VLOOKUP($H43,구분표!$K$3:$M$151,3,FALSE))</x:f>
        <x:v/>
      </x:c>
      <x:c r="K43" s="233"/>
      <x:c r="L43" s="233"/>
      <x:c r="M43" s="459" t="str">
        <x:f t="shared" si="43"/>
        <x:v/>
      </x:c>
      <x:c r="N43" s="459" t="str">
        <x:f t="shared" si="44"/>
        <x:v/>
      </x:c>
      <x:c r="O43" s="461" t="str">
        <x:f t="shared" si="37"/>
        <x:v/>
      </x:c>
      <x:c r="P43" s="460"/>
      <x:c r="Q43" s="461">
        <x:f t="shared" si="38"/>
        <x:v>0</x:v>
      </x:c>
      <x:c r="R43" s="462"/>
      <x:c r="S43" s="463">
        <x:f t="shared" si="39"/>
        <x:v>0</x:v>
      </x:c>
      <x:c r="T43" s="162" t="str">
        <x:f t="shared" si="40"/>
        <x:v>X</x:v>
      </x:c>
      <x:c r="U43" s="552"/>
      <x:c r="V43" s="331"/>
      <x:c r="W43" s="221"/>
      <x:c r="X43" s="223"/>
      <x:c r="Y43" s="334"/>
      <x:c r="Z43" s="334"/>
      <x:c r="AA43" s="29"/>
      <x:c r="AB43" s="486">
        <x:f t="shared" si="5"/>
        <x:v>0</x:v>
      </x:c>
      <x:c r="AC43" s="487">
        <x:f t="shared" si="41"/>
        <x:v>0</x:v>
      </x:c>
      <x:c r="AD43" s="487">
        <x:f t="shared" si="6"/>
        <x:v>0</x:v>
      </x:c>
      <x:c r="AE43" s="487">
        <x:f t="shared" si="7"/>
        <x:v>0</x:v>
      </x:c>
      <x:c r="AF43" s="374" t="str">
        <x:f t="shared" si="8"/>
        <x:v/>
      </x:c>
      <x:c r="AG43" s="93"/>
      <x:c r="AH43" s="488">
        <x:f t="shared" si="9"/>
        <x:v>0</x:v>
      </x:c>
      <x:c r="AI43" s="487">
        <x:f t="shared" si="10"/>
        <x:v>0</x:v>
      </x:c>
      <x:c r="AJ43" s="487">
        <x:f t="shared" si="11"/>
        <x:v>0</x:v>
      </x:c>
      <x:c r="AK43" s="487">
        <x:f t="shared" si="12"/>
        <x:v>0</x:v>
      </x:c>
      <x:c r="AL43" s="374" t="str">
        <x:f t="shared" si="13"/>
        <x:v/>
      </x:c>
      <x:c r="AM43" s="92"/>
      <x:c r="AN43" s="221"/>
      <x:c r="AO43" s="374" t="str">
        <x:f>IF($AP43="","",IF($AN43="세입없음","OK",IF(OR($AP43="재원확인",$AN43=""),"@@",IF(COUNTIF('3. 일입'!$AK$8:$AK$2000,$AN43),"OK","@@"))))</x:f>
        <x:v/>
      </x:c>
      <x:c r="AP43" s="356" t="str">
        <x:f t="shared" si="14"/>
        <x:v/>
      </x:c>
      <x:c r="AQ43" s="374" t="str">
        <x:f>IF(AND($AN43="",$AP43=""),"",IF(AND($AN43&lt;&gt;"",$AP43&lt;&gt;""),IF(AN43="세입없음","OK",IF(VLOOKUP($AN43,'3. 일입'!$AK$7:$AL$2000,2,FALSE)=$AP43,"OK","@@")),"@@"))</x:f>
        <x:v/>
      </x:c>
      <x:c r="AR43" s="93"/>
      <x:c r="AS43" s="533"/>
      <x:c r="AT43" s="374" t="str">
        <x:f>IF($AS43="","",IF($AS43="세입없음","OK",IF(COUNTIF('3. 일입'!$AN$8:$AN$2000,$AS43),"OK","@@")))</x:f>
        <x:v/>
      </x:c>
      <x:c r="AU43" s="356" t="str">
        <x:f t="shared" si="15"/>
        <x:v/>
      </x:c>
      <x:c r="AV43" s="374" t="str">
        <x:f t="shared" si="16"/>
        <x:v/>
      </x:c>
      <x:c r="AW43" s="93"/>
      <x:c r="AX43" s="348"/>
      <x:c r="AY43" s="29"/>
    </x:row>
    <x:row r="44" spans="1:51" s="20" customFormat="1" ht="80.099999999999994" customHeight="1">
      <x:c r="A44" s="155" t="str">
        <x:f>IF(D44="","",COUNTA($C$7:C44)-COUNTBLANK($C$7:C44)+3)</x:f>
        <x:v/>
      </x:c>
      <x:c r="B44" s="156" t="str">
        <x: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x:f>
        <x:v/>
      </x:c>
      <x:c r="C44" s="156" t="str">
        <x:f>IF(D44="","",IF(OR(D44="교육지원과",D44="총무과",D44="인사과"),"직접입력",VLOOKUP(D44,구분표!$A$3:$C$258,3,)))</x:f>
        <x:v/>
      </x:c>
      <x:c r="D44" s="219"/>
      <x:c r="E44" s="213"/>
      <x:c r="F44" s="388" t="str">
        <x:f t="shared" si="42"/>
        <x:v/>
      </x:c>
      <x:c r="G44" s="388" t="str">
        <x:f t="shared" si="42"/>
        <x:v/>
      </x:c>
      <x:c r="H44" s="213"/>
      <x:c r="I44" s="156" t="str">
        <x:f>IF(H44="","",VLOOKUP($H44,구분표!$K$3:$M$151,2,FALSE))</x:f>
        <x:v/>
      </x:c>
      <x:c r="J44" s="156" t="str">
        <x:f>IF(I44="","",VLOOKUP($H44,구분표!$K$3:$M$151,3,FALSE))</x:f>
        <x:v/>
      </x:c>
      <x:c r="K44" s="233"/>
      <x:c r="L44" s="233"/>
      <x:c r="M44" s="459" t="str">
        <x:f t="shared" si="43"/>
        <x:v/>
      </x:c>
      <x:c r="N44" s="459" t="str">
        <x:f t="shared" si="44"/>
        <x:v/>
      </x:c>
      <x:c r="O44" s="461" t="str">
        <x:f t="shared" si="37"/>
        <x:v/>
      </x:c>
      <x:c r="P44" s="460"/>
      <x:c r="Q44" s="461">
        <x:f t="shared" si="38"/>
        <x:v>0</x:v>
      </x:c>
      <x:c r="R44" s="462"/>
      <x:c r="S44" s="463">
        <x:f t="shared" si="39"/>
        <x:v>0</x:v>
      </x:c>
      <x:c r="T44" s="162" t="str">
        <x:f t="shared" si="40"/>
        <x:v>X</x:v>
      </x:c>
      <x:c r="U44" s="552"/>
      <x:c r="V44" s="331"/>
      <x:c r="W44" s="221"/>
      <x:c r="X44" s="223"/>
      <x:c r="Y44" s="334"/>
      <x:c r="Z44" s="334"/>
      <x:c r="AA44" s="29"/>
      <x:c r="AB44" s="486">
        <x:f t="shared" si="5"/>
        <x:v>0</x:v>
      </x:c>
      <x:c r="AC44" s="487">
        <x:f t="shared" si="41"/>
        <x:v>0</x:v>
      </x:c>
      <x:c r="AD44" s="487">
        <x:f t="shared" si="6"/>
        <x:v>0</x:v>
      </x:c>
      <x:c r="AE44" s="487">
        <x:f t="shared" si="7"/>
        <x:v>0</x:v>
      </x:c>
      <x:c r="AF44" s="374" t="str">
        <x:f t="shared" si="8"/>
        <x:v/>
      </x:c>
      <x:c r="AG44" s="93"/>
      <x:c r="AH44" s="488">
        <x:f t="shared" si="9"/>
        <x:v>0</x:v>
      </x:c>
      <x:c r="AI44" s="487">
        <x:f t="shared" si="10"/>
        <x:v>0</x:v>
      </x:c>
      <x:c r="AJ44" s="487">
        <x:f t="shared" si="11"/>
        <x:v>0</x:v>
      </x:c>
      <x:c r="AK44" s="487">
        <x:f t="shared" si="12"/>
        <x:v>0</x:v>
      </x:c>
      <x:c r="AL44" s="374" t="str">
        <x:f t="shared" si="13"/>
        <x:v/>
      </x:c>
      <x:c r="AM44" s="92"/>
      <x:c r="AN44" s="221"/>
      <x:c r="AO44" s="374" t="str">
        <x:f>IF($AP44="","",IF($AN44="세입없음","OK",IF(OR($AP44="재원확인",$AN44=""),"@@",IF(COUNTIF('3. 일입'!$AK$8:$AK$2000,$AN44),"OK","@@"))))</x:f>
        <x:v/>
      </x:c>
      <x:c r="AP44" s="356" t="str">
        <x:f t="shared" si="14"/>
        <x:v/>
      </x:c>
      <x:c r="AQ44" s="374" t="str">
        <x:f>IF(AND($AN44="",$AP44=""),"",IF(AND($AN44&lt;&gt;"",$AP44&lt;&gt;""),IF(AN44="세입없음","OK",IF(VLOOKUP($AN44,'3. 일입'!$AK$7:$AL$2000,2,FALSE)=$AP44,"OK","@@")),"@@"))</x:f>
        <x:v/>
      </x:c>
      <x:c r="AR44" s="93"/>
      <x:c r="AS44" s="533"/>
      <x:c r="AT44" s="374" t="str">
        <x:f>IF($AS44="","",IF($AS44="세입없음","OK",IF(COUNTIF('3. 일입'!$AN$8:$AN$2000,$AS44),"OK","@@")))</x:f>
        <x:v/>
      </x:c>
      <x:c r="AU44" s="356" t="str">
        <x:f t="shared" si="15"/>
        <x:v/>
      </x:c>
      <x:c r="AV44" s="374" t="str">
        <x:f t="shared" si="16"/>
        <x:v/>
      </x:c>
      <x:c r="AW44" s="93"/>
      <x:c r="AX44" s="348"/>
      <x:c r="AY44" s="29"/>
    </x:row>
    <x:row r="45" spans="1:51" s="20" customFormat="1" ht="80.099999999999994" customHeight="1">
      <x:c r="A45" s="155" t="str">
        <x:f>IF(D45="","",COUNTA($C$7:C45)-COUNTBLANK($C$7:C45)+3)</x:f>
        <x:v/>
      </x:c>
      <x:c r="B45" s="156" t="str">
        <x: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x:f>
        <x:v/>
      </x:c>
      <x:c r="C45" s="156" t="str">
        <x:f>IF(D45="","",IF(OR(D45="교육지원과",D45="총무과",D45="인사과"),"직접입력",VLOOKUP(D45,구분표!$A$3:$C$258,3,)))</x:f>
        <x:v/>
      </x:c>
      <x:c r="D45" s="219"/>
      <x:c r="E45" s="213"/>
      <x:c r="F45" s="388" t="str">
        <x:f t="shared" si="42"/>
        <x:v/>
      </x:c>
      <x:c r="G45" s="388" t="str">
        <x:f t="shared" si="42"/>
        <x:v/>
      </x:c>
      <x:c r="H45" s="213"/>
      <x:c r="I45" s="156" t="str">
        <x:f>IF(H45="","",VLOOKUP($H45,구분표!$K$3:$M$151,2,FALSE))</x:f>
        <x:v/>
      </x:c>
      <x:c r="J45" s="156" t="str">
        <x:f>IF(I45="","",VLOOKUP($H45,구분표!$K$3:$M$151,3,FALSE))</x:f>
        <x:v/>
      </x:c>
      <x:c r="K45" s="233"/>
      <x:c r="L45" s="233"/>
      <x:c r="M45" s="459" t="str">
        <x:f t="shared" si="43"/>
        <x:v/>
      </x:c>
      <x:c r="N45" s="459" t="str">
        <x:f t="shared" si="44"/>
        <x:v/>
      </x:c>
      <x:c r="O45" s="461" t="str">
        <x:f t="shared" si="37"/>
        <x:v/>
      </x:c>
      <x:c r="P45" s="460"/>
      <x:c r="Q45" s="461">
        <x:f t="shared" si="38"/>
        <x:v>0</x:v>
      </x:c>
      <x:c r="R45" s="462"/>
      <x:c r="S45" s="463">
        <x:f t="shared" si="39"/>
        <x:v>0</x:v>
      </x:c>
      <x:c r="T45" s="162" t="str">
        <x:f t="shared" si="40"/>
        <x:v>X</x:v>
      </x:c>
      <x:c r="U45" s="552"/>
      <x:c r="V45" s="331"/>
      <x:c r="W45" s="221"/>
      <x:c r="X45" s="223"/>
      <x:c r="Y45" s="334"/>
      <x:c r="Z45" s="334"/>
      <x:c r="AA45" s="29"/>
      <x:c r="AB45" s="486">
        <x:f t="shared" si="5"/>
        <x:v>0</x:v>
      </x:c>
      <x:c r="AC45" s="487">
        <x:f t="shared" si="41"/>
        <x:v>0</x:v>
      </x:c>
      <x:c r="AD45" s="487">
        <x:f t="shared" si="6"/>
        <x:v>0</x:v>
      </x:c>
      <x:c r="AE45" s="487">
        <x:f t="shared" si="7"/>
        <x:v>0</x:v>
      </x:c>
      <x:c r="AF45" s="374" t="str">
        <x:f t="shared" si="8"/>
        <x:v/>
      </x:c>
      <x:c r="AG45" s="93"/>
      <x:c r="AH45" s="488">
        <x:f t="shared" si="9"/>
        <x:v>0</x:v>
      </x:c>
      <x:c r="AI45" s="487">
        <x:f t="shared" si="10"/>
        <x:v>0</x:v>
      </x:c>
      <x:c r="AJ45" s="487">
        <x:f t="shared" si="11"/>
        <x:v>0</x:v>
      </x:c>
      <x:c r="AK45" s="487">
        <x:f t="shared" si="12"/>
        <x:v>0</x:v>
      </x:c>
      <x:c r="AL45" s="374" t="str">
        <x:f t="shared" si="13"/>
        <x:v/>
      </x:c>
      <x:c r="AM45" s="92"/>
      <x:c r="AN45" s="221"/>
      <x:c r="AO45" s="374" t="str">
        <x:f>IF($AP45="","",IF($AN45="세입없음","OK",IF(OR($AP45="재원확인",$AN45=""),"@@",IF(COUNTIF('3. 일입'!$AK$8:$AK$2000,$AN45),"OK","@@"))))</x:f>
        <x:v/>
      </x:c>
      <x:c r="AP45" s="356" t="str">
        <x:f t="shared" si="14"/>
        <x:v/>
      </x:c>
      <x:c r="AQ45" s="374" t="str">
        <x:f>IF(AND($AN45="",$AP45=""),"",IF(AND($AN45&lt;&gt;"",$AP45&lt;&gt;""),IF(AN45="세입없음","OK",IF(VLOOKUP($AN45,'3. 일입'!$AK$7:$AL$2000,2,FALSE)=$AP45,"OK","@@")),"@@"))</x:f>
        <x:v/>
      </x:c>
      <x:c r="AR45" s="93"/>
      <x:c r="AS45" s="533"/>
      <x:c r="AT45" s="374" t="str">
        <x:f>IF($AS45="","",IF($AS45="세입없음","OK",IF(COUNTIF('3. 일입'!$AN$8:$AN$2000,$AS45),"OK","@@")))</x:f>
        <x:v/>
      </x:c>
      <x:c r="AU45" s="356" t="str">
        <x:f t="shared" si="15"/>
        <x:v/>
      </x:c>
      <x:c r="AV45" s="374" t="str">
        <x:f t="shared" si="16"/>
        <x:v/>
      </x:c>
      <x:c r="AW45" s="93"/>
      <x:c r="AX45" s="348"/>
      <x:c r="AY45" s="29"/>
    </x:row>
    <x:row r="46" spans="1:51" s="20" customFormat="1" ht="80.099999999999994" customHeight="1">
      <x:c r="A46" s="155" t="str">
        <x:f>IF(D46="","",COUNTA($C$7:C46)-COUNTBLANK($C$7:C46)+3)</x:f>
        <x:v/>
      </x:c>
      <x:c r="B46" s="156" t="str">
        <x: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x:f>
        <x:v/>
      </x:c>
      <x:c r="C46" s="156" t="str">
        <x:f>IF(D46="","",IF(OR(D46="교육지원과",D46="총무과",D46="인사과"),"직접입력",VLOOKUP(D46,구분표!$A$3:$C$258,3,)))</x:f>
        <x:v/>
      </x:c>
      <x:c r="D46" s="219"/>
      <x:c r="E46" s="213"/>
      <x:c r="F46" s="388" t="str">
        <x:f t="shared" si="42"/>
        <x:v/>
      </x:c>
      <x:c r="G46" s="388" t="str">
        <x:f t="shared" si="42"/>
        <x:v/>
      </x:c>
      <x:c r="H46" s="213"/>
      <x:c r="I46" s="156" t="str">
        <x:f>IF(H46="","",VLOOKUP($H46,구분표!$K$3:$M$151,2,FALSE))</x:f>
        <x:v/>
      </x:c>
      <x:c r="J46" s="156" t="str">
        <x:f>IF(I46="","",VLOOKUP($H46,구분표!$K$3:$M$151,3,FALSE))</x:f>
        <x:v/>
      </x:c>
      <x:c r="K46" s="233"/>
      <x:c r="L46" s="233"/>
      <x:c r="M46" s="459" t="str">
        <x:f t="shared" si="43"/>
        <x:v/>
      </x:c>
      <x:c r="N46" s="459" t="str">
        <x:f t="shared" si="44"/>
        <x:v/>
      </x:c>
      <x:c r="O46" s="461" t="str">
        <x:f t="shared" si="37"/>
        <x:v/>
      </x:c>
      <x:c r="P46" s="460"/>
      <x:c r="Q46" s="461">
        <x:f t="shared" si="38"/>
        <x:v>0</x:v>
      </x:c>
      <x:c r="R46" s="462"/>
      <x:c r="S46" s="463">
        <x:f t="shared" si="39"/>
        <x:v>0</x:v>
      </x:c>
      <x:c r="T46" s="162" t="str">
        <x:f t="shared" si="40"/>
        <x:v>X</x:v>
      </x:c>
      <x:c r="U46" s="552"/>
      <x:c r="V46" s="331"/>
      <x:c r="W46" s="221"/>
      <x:c r="X46" s="223"/>
      <x:c r="Y46" s="334"/>
      <x:c r="Z46" s="334"/>
      <x:c r="AA46" s="29"/>
      <x:c r="AB46" s="486">
        <x:f t="shared" si="5"/>
        <x:v>0</x:v>
      </x:c>
      <x:c r="AC46" s="487">
        <x:f t="shared" si="41"/>
        <x:v>0</x:v>
      </x:c>
      <x:c r="AD46" s="487">
        <x:f t="shared" si="6"/>
        <x:v>0</x:v>
      </x:c>
      <x:c r="AE46" s="487">
        <x:f t="shared" si="7"/>
        <x:v>0</x:v>
      </x:c>
      <x:c r="AF46" s="374" t="str">
        <x:f t="shared" si="8"/>
        <x:v/>
      </x:c>
      <x:c r="AG46" s="93"/>
      <x:c r="AH46" s="488">
        <x:f t="shared" si="9"/>
        <x:v>0</x:v>
      </x:c>
      <x:c r="AI46" s="487">
        <x:f t="shared" si="10"/>
        <x:v>0</x:v>
      </x:c>
      <x:c r="AJ46" s="487">
        <x:f t="shared" si="11"/>
        <x:v>0</x:v>
      </x:c>
      <x:c r="AK46" s="487">
        <x:f t="shared" si="12"/>
        <x:v>0</x:v>
      </x:c>
      <x:c r="AL46" s="374" t="str">
        <x:f t="shared" si="13"/>
        <x:v/>
      </x:c>
      <x:c r="AM46" s="92"/>
      <x:c r="AN46" s="221"/>
      <x:c r="AO46" s="374" t="str">
        <x:f>IF($AP46="","",IF($AN46="세입없음","OK",IF(OR($AP46="재원확인",$AN46=""),"@@",IF(COUNTIF('3. 일입'!$AK$8:$AK$2000,$AN46),"OK","@@"))))</x:f>
        <x:v/>
      </x:c>
      <x:c r="AP46" s="356" t="str">
        <x:f t="shared" si="14"/>
        <x:v/>
      </x:c>
      <x:c r="AQ46" s="374" t="str">
        <x:f>IF(AND($AN46="",$AP46=""),"",IF(AND($AN46&lt;&gt;"",$AP46&lt;&gt;""),IF(AN46="세입없음","OK",IF(VLOOKUP($AN46,'3. 일입'!$AK$7:$AL$2000,2,FALSE)=$AP46,"OK","@@")),"@@"))</x:f>
        <x:v/>
      </x:c>
      <x:c r="AR46" s="93"/>
      <x:c r="AS46" s="533"/>
      <x:c r="AT46" s="374" t="str">
        <x:f>IF($AS46="","",IF($AS46="세입없음","OK",IF(COUNTIF('3. 일입'!$AN$8:$AN$2000,$AS46),"OK","@@")))</x:f>
        <x:v/>
      </x:c>
      <x:c r="AU46" s="356" t="str">
        <x:f t="shared" si="15"/>
        <x:v/>
      </x:c>
      <x:c r="AV46" s="374" t="str">
        <x:f t="shared" si="16"/>
        <x:v/>
      </x:c>
      <x:c r="AW46" s="93"/>
      <x:c r="AX46" s="348"/>
      <x:c r="AY46" s="29"/>
    </x:row>
    <x:row r="47" spans="1:51" s="20" customFormat="1" ht="80.099999999999994" customHeight="1">
      <x:c r="A47" s="155" t="str">
        <x:f>IF(D47="","",COUNTA($C$7:C47)-COUNTBLANK($C$7:C47)+3)</x:f>
        <x:v/>
      </x:c>
      <x:c r="B47" s="156" t="str">
        <x: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x:f>
        <x:v/>
      </x:c>
      <x:c r="C47" s="156" t="str">
        <x:f>IF(D47="","",IF(OR(D47="교육지원과",D47="총무과",D47="인사과"),"직접입력",VLOOKUP(D47,구분표!$A$3:$C$258,3,)))</x:f>
        <x:v/>
      </x:c>
      <x:c r="D47" s="219"/>
      <x:c r="E47" s="213"/>
      <x:c r="F47" s="388" t="str">
        <x:f t="shared" si="42"/>
        <x:v/>
      </x:c>
      <x:c r="G47" s="388" t="str">
        <x:f t="shared" si="42"/>
        <x:v/>
      </x:c>
      <x:c r="H47" s="213"/>
      <x:c r="I47" s="156" t="str">
        <x:f>IF(H47="","",VLOOKUP($H47,구분표!$K$3:$M$151,2,FALSE))</x:f>
        <x:v/>
      </x:c>
      <x:c r="J47" s="156" t="str">
        <x:f>IF(I47="","",VLOOKUP($H47,구분표!$K$3:$M$151,3,FALSE))</x:f>
        <x:v/>
      </x:c>
      <x:c r="K47" s="233"/>
      <x:c r="L47" s="233"/>
      <x:c r="M47" s="459" t="str">
        <x:f t="shared" si="43"/>
        <x:v/>
      </x:c>
      <x:c r="N47" s="459" t="str">
        <x:f t="shared" si="44"/>
        <x:v/>
      </x:c>
      <x:c r="O47" s="461" t="str">
        <x:f t="shared" si="37"/>
        <x:v/>
      </x:c>
      <x:c r="P47" s="460"/>
      <x:c r="Q47" s="461">
        <x:f t="shared" si="38"/>
        <x:v>0</x:v>
      </x:c>
      <x:c r="R47" s="462"/>
      <x:c r="S47" s="463">
        <x:f t="shared" si="39"/>
        <x:v>0</x:v>
      </x:c>
      <x:c r="T47" s="162" t="str">
        <x:f t="shared" si="40"/>
        <x:v>X</x:v>
      </x:c>
      <x:c r="U47" s="552"/>
      <x:c r="V47" s="331"/>
      <x:c r="W47" s="221"/>
      <x:c r="X47" s="223"/>
      <x:c r="Y47" s="334"/>
      <x:c r="Z47" s="334"/>
      <x:c r="AA47" s="29"/>
      <x:c r="AB47" s="486">
        <x:f t="shared" si="5"/>
        <x:v>0</x:v>
      </x:c>
      <x:c r="AC47" s="487">
        <x:f t="shared" si="41"/>
        <x:v>0</x:v>
      </x:c>
      <x:c r="AD47" s="487">
        <x:f t="shared" si="6"/>
        <x:v>0</x:v>
      </x:c>
      <x:c r="AE47" s="487">
        <x:f t="shared" si="7"/>
        <x:v>0</x:v>
      </x:c>
      <x:c r="AF47" s="374" t="str">
        <x:f t="shared" si="8"/>
        <x:v/>
      </x:c>
      <x:c r="AG47" s="93"/>
      <x:c r="AH47" s="488">
        <x:f t="shared" si="9"/>
        <x:v>0</x:v>
      </x:c>
      <x:c r="AI47" s="487">
        <x:f t="shared" si="10"/>
        <x:v>0</x:v>
      </x:c>
      <x:c r="AJ47" s="487">
        <x:f t="shared" si="11"/>
        <x:v>0</x:v>
      </x:c>
      <x:c r="AK47" s="487">
        <x:f t="shared" si="12"/>
        <x:v>0</x:v>
      </x:c>
      <x:c r="AL47" s="374" t="str">
        <x:f t="shared" si="13"/>
        <x:v/>
      </x:c>
      <x:c r="AM47" s="92"/>
      <x:c r="AN47" s="221"/>
      <x:c r="AO47" s="374" t="str">
        <x:f>IF($AP47="","",IF($AN47="세입없음","OK",IF(OR($AP47="재원확인",$AN47=""),"@@",IF(COUNTIF('3. 일입'!$AK$8:$AK$2000,$AN47),"OK","@@"))))</x:f>
        <x:v/>
      </x:c>
      <x:c r="AP47" s="356" t="str">
        <x:f t="shared" si="14"/>
        <x:v/>
      </x:c>
      <x:c r="AQ47" s="374" t="str">
        <x:f>IF(AND($AN47="",$AP47=""),"",IF(AND($AN47&lt;&gt;"",$AP47&lt;&gt;""),IF(AN47="세입없음","OK",IF(VLOOKUP($AN47,'3. 일입'!$AK$7:$AL$2000,2,FALSE)=$AP47,"OK","@@")),"@@"))</x:f>
        <x:v/>
      </x:c>
      <x:c r="AR47" s="93"/>
      <x:c r="AS47" s="533"/>
      <x:c r="AT47" s="374" t="str">
        <x:f>IF($AS47="","",IF($AS47="세입없음","OK",IF(COUNTIF('3. 일입'!$AN$8:$AN$2000,$AS47),"OK","@@")))</x:f>
        <x:v/>
      </x:c>
      <x:c r="AU47" s="356" t="str">
        <x:f t="shared" si="15"/>
        <x:v/>
      </x:c>
      <x:c r="AV47" s="374" t="str">
        <x:f t="shared" si="16"/>
        <x:v/>
      </x:c>
      <x:c r="AW47" s="93"/>
      <x:c r="AX47" s="348"/>
      <x:c r="AY47" s="29"/>
    </x:row>
    <x:row r="48" spans="1:51" s="20" customFormat="1" ht="80.099999999999994" customHeight="1">
      <x:c r="A48" s="155" t="str">
        <x:f>IF(D48="","",COUNTA($C$7:C48)-COUNTBLANK($C$7:C48)+3)</x:f>
        <x:v/>
      </x:c>
      <x:c r="B48" s="156" t="str">
        <x: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x:f>
        <x:v/>
      </x:c>
      <x:c r="C48" s="156" t="str">
        <x:f>IF(D48="","",IF(OR(D48="교육지원과",D48="총무과",D48="인사과"),"직접입력",VLOOKUP(D48,구분표!$A$3:$C$258,3,)))</x:f>
        <x:v/>
      </x:c>
      <x:c r="D48" s="219"/>
      <x:c r="E48" s="213"/>
      <x:c r="F48" s="388" t="str">
        <x:f t="shared" si="42"/>
        <x:v/>
      </x:c>
      <x:c r="G48" s="388" t="str">
        <x:f t="shared" si="42"/>
        <x:v/>
      </x:c>
      <x:c r="H48" s="213"/>
      <x:c r="I48" s="156" t="str">
        <x:f>IF(H48="","",VLOOKUP($H48,구분표!$K$3:$M$151,2,FALSE))</x:f>
        <x:v/>
      </x:c>
      <x:c r="J48" s="156" t="str">
        <x:f>IF(I48="","",VLOOKUP($H48,구분표!$K$3:$M$151,3,FALSE))</x:f>
        <x:v/>
      </x:c>
      <x:c r="K48" s="233"/>
      <x:c r="L48" s="233"/>
      <x:c r="M48" s="459" t="str">
        <x:f t="shared" si="43"/>
        <x:v/>
      </x:c>
      <x:c r="N48" s="459" t="str">
        <x:f t="shared" si="44"/>
        <x:v/>
      </x:c>
      <x:c r="O48" s="461" t="str">
        <x:f t="shared" si="37"/>
        <x:v/>
      </x:c>
      <x:c r="P48" s="460"/>
      <x:c r="Q48" s="461">
        <x:f t="shared" si="38"/>
        <x:v>0</x:v>
      </x:c>
      <x:c r="R48" s="462"/>
      <x:c r="S48" s="463">
        <x:f t="shared" si="39"/>
        <x:v>0</x:v>
      </x:c>
      <x:c r="T48" s="162" t="str">
        <x:f t="shared" si="40"/>
        <x:v>X</x:v>
      </x:c>
      <x:c r="U48" s="552"/>
      <x:c r="V48" s="331"/>
      <x:c r="W48" s="221"/>
      <x:c r="X48" s="223"/>
      <x:c r="Y48" s="334"/>
      <x:c r="Z48" s="334"/>
      <x:c r="AA48" s="29"/>
      <x:c r="AB48" s="486">
        <x:f t="shared" si="5"/>
        <x:v>0</x:v>
      </x:c>
      <x:c r="AC48" s="487">
        <x:f t="shared" si="41"/>
        <x:v>0</x:v>
      </x:c>
      <x:c r="AD48" s="487">
        <x:f t="shared" si="6"/>
        <x:v>0</x:v>
      </x:c>
      <x:c r="AE48" s="487">
        <x:f t="shared" si="7"/>
        <x:v>0</x:v>
      </x:c>
      <x:c r="AF48" s="374" t="str">
        <x:f t="shared" si="8"/>
        <x:v/>
      </x:c>
      <x:c r="AG48" s="93"/>
      <x:c r="AH48" s="488">
        <x:f t="shared" si="9"/>
        <x:v>0</x:v>
      </x:c>
      <x:c r="AI48" s="487">
        <x:f t="shared" si="10"/>
        <x:v>0</x:v>
      </x:c>
      <x:c r="AJ48" s="487">
        <x:f t="shared" si="11"/>
        <x:v>0</x:v>
      </x:c>
      <x:c r="AK48" s="487">
        <x:f t="shared" si="12"/>
        <x:v>0</x:v>
      </x:c>
      <x:c r="AL48" s="374" t="str">
        <x:f t="shared" si="13"/>
        <x:v/>
      </x:c>
      <x:c r="AM48" s="92"/>
      <x:c r="AN48" s="221"/>
      <x:c r="AO48" s="374" t="str">
        <x:f>IF($AP48="","",IF($AN48="세입없음","OK",IF(OR($AP48="재원확인",$AN48=""),"@@",IF(COUNTIF('3. 일입'!$AK$8:$AK$2000,$AN48),"OK","@@"))))</x:f>
        <x:v/>
      </x:c>
      <x:c r="AP48" s="356" t="str">
        <x:f t="shared" si="14"/>
        <x:v/>
      </x:c>
      <x:c r="AQ48" s="374" t="str">
        <x:f>IF(AND($AN48="",$AP48=""),"",IF(AND($AN48&lt;&gt;"",$AP48&lt;&gt;""),IF(AN48="세입없음","OK",IF(VLOOKUP($AN48,'3. 일입'!$AK$7:$AL$2000,2,FALSE)=$AP48,"OK","@@")),"@@"))</x:f>
        <x:v/>
      </x:c>
      <x:c r="AR48" s="93"/>
      <x:c r="AS48" s="533"/>
      <x:c r="AT48" s="374" t="str">
        <x:f>IF($AS48="","",IF($AS48="세입없음","OK",IF(COUNTIF('3. 일입'!$AN$8:$AN$2000,$AS48),"OK","@@")))</x:f>
        <x:v/>
      </x:c>
      <x:c r="AU48" s="356" t="str">
        <x:f t="shared" si="15"/>
        <x:v/>
      </x:c>
      <x:c r="AV48" s="374" t="str">
        <x:f t="shared" si="16"/>
        <x:v/>
      </x:c>
      <x:c r="AW48" s="93"/>
      <x:c r="AX48" s="348"/>
      <x:c r="AY48" s="29"/>
    </x:row>
    <x:row r="49" spans="1:51" s="20" customFormat="1" ht="80.099999999999994" customHeight="1">
      <x:c r="A49" s="155" t="str">
        <x:f>IF(D49="","",COUNTA($C$7:C49)-COUNTBLANK($C$7:C49)+3)</x:f>
        <x:v/>
      </x:c>
      <x:c r="B49" s="156" t="str">
        <x: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x:f>
        <x:v/>
      </x:c>
      <x:c r="C49" s="156" t="str">
        <x:f>IF(D49="","",IF(OR(D49="교육지원과",D49="총무과",D49="인사과"),"직접입력",VLOOKUP(D49,구분표!$A$3:$C$258,3,)))</x:f>
        <x:v/>
      </x:c>
      <x:c r="D49" s="219"/>
      <x:c r="E49" s="213"/>
      <x:c r="F49" s="388" t="str">
        <x:f t="shared" si="42"/>
        <x:v/>
      </x:c>
      <x:c r="G49" s="388" t="str">
        <x:f t="shared" si="42"/>
        <x:v/>
      </x:c>
      <x:c r="H49" s="213"/>
      <x:c r="I49" s="156" t="str">
        <x:f>IF(H49="","",VLOOKUP($H49,구분표!$K$3:$M$151,2,FALSE))</x:f>
        <x:v/>
      </x:c>
      <x:c r="J49" s="156" t="str">
        <x:f>IF(I49="","",VLOOKUP($H49,구분표!$K$3:$M$151,3,FALSE))</x:f>
        <x:v/>
      </x:c>
      <x:c r="K49" s="233"/>
      <x:c r="L49" s="233"/>
      <x:c r="M49" s="459" t="str">
        <x:f t="shared" si="43"/>
        <x:v/>
      </x:c>
      <x:c r="N49" s="459" t="str">
        <x:f t="shared" si="44"/>
        <x:v/>
      </x:c>
      <x:c r="O49" s="461" t="str">
        <x:f t="shared" si="37"/>
        <x:v/>
      </x:c>
      <x:c r="P49" s="460"/>
      <x:c r="Q49" s="461">
        <x:f t="shared" si="38"/>
        <x:v>0</x:v>
      </x:c>
      <x:c r="R49" s="462"/>
      <x:c r="S49" s="463">
        <x:f t="shared" si="39"/>
        <x:v>0</x:v>
      </x:c>
      <x:c r="T49" s="162" t="str">
        <x:f t="shared" si="40"/>
        <x:v>X</x:v>
      </x:c>
      <x:c r="U49" s="552"/>
      <x:c r="V49" s="331"/>
      <x:c r="W49" s="221"/>
      <x:c r="X49" s="223"/>
      <x:c r="Y49" s="334"/>
      <x:c r="Z49" s="334"/>
      <x:c r="AA49" s="29"/>
      <x:c r="AB49" s="486">
        <x:f t="shared" si="5"/>
        <x:v>0</x:v>
      </x:c>
      <x:c r="AC49" s="487">
        <x:f t="shared" si="41"/>
        <x:v>0</x:v>
      </x:c>
      <x:c r="AD49" s="487">
        <x:f t="shared" si="6"/>
        <x:v>0</x:v>
      </x:c>
      <x:c r="AE49" s="487">
        <x:f t="shared" si="7"/>
        <x:v>0</x:v>
      </x:c>
      <x:c r="AF49" s="374" t="str">
        <x:f t="shared" si="8"/>
        <x:v/>
      </x:c>
      <x:c r="AG49" s="93"/>
      <x:c r="AH49" s="488">
        <x:f t="shared" si="9"/>
        <x:v>0</x:v>
      </x:c>
      <x:c r="AI49" s="487">
        <x:f t="shared" si="10"/>
        <x:v>0</x:v>
      </x:c>
      <x:c r="AJ49" s="487">
        <x:f t="shared" si="11"/>
        <x:v>0</x:v>
      </x:c>
      <x:c r="AK49" s="487">
        <x:f t="shared" si="12"/>
        <x:v>0</x:v>
      </x:c>
      <x:c r="AL49" s="374" t="str">
        <x:f t="shared" si="13"/>
        <x:v/>
      </x:c>
      <x:c r="AM49" s="92"/>
      <x:c r="AN49" s="221"/>
      <x:c r="AO49" s="374" t="str">
        <x:f>IF($AP49="","",IF($AN49="세입없음","OK",IF(OR($AP49="재원확인",$AN49=""),"@@",IF(COUNTIF('3. 일입'!$AK$8:$AK$2000,$AN49),"OK","@@"))))</x:f>
        <x:v/>
      </x:c>
      <x:c r="AP49" s="356" t="str">
        <x:f t="shared" si="14"/>
        <x:v/>
      </x:c>
      <x:c r="AQ49" s="374" t="str">
        <x:f>IF(AND($AN49="",$AP49=""),"",IF(AND($AN49&lt;&gt;"",$AP49&lt;&gt;""),IF(AN49="세입없음","OK",IF(VLOOKUP($AN49,'3. 일입'!$AK$7:$AL$2000,2,FALSE)=$AP49,"OK","@@")),"@@"))</x:f>
        <x:v/>
      </x:c>
      <x:c r="AR49" s="93"/>
      <x:c r="AS49" s="533"/>
      <x:c r="AT49" s="374" t="str">
        <x:f>IF($AS49="","",IF($AS49="세입없음","OK",IF(COUNTIF('3. 일입'!$AN$8:$AN$2000,$AS49),"OK","@@")))</x:f>
        <x:v/>
      </x:c>
      <x:c r="AU49" s="356" t="str">
        <x:f t="shared" si="15"/>
        <x:v/>
      </x:c>
      <x:c r="AV49" s="374" t="str">
        <x:f t="shared" si="16"/>
        <x:v/>
      </x:c>
      <x:c r="AW49" s="93"/>
      <x:c r="AX49" s="348"/>
      <x:c r="AY49" s="29"/>
    </x:row>
    <x:row r="50" spans="1:51" s="20" customFormat="1" ht="80.099999999999994" customHeight="1">
      <x:c r="A50" s="155" t="str">
        <x:f>IF(D50="","",COUNTA($C$7:C50)-COUNTBLANK($C$7:C50)+3)</x:f>
        <x:v/>
      </x:c>
      <x:c r="B50" s="156" t="str">
        <x: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x:f>
        <x:v/>
      </x:c>
      <x:c r="C50" s="156" t="str">
        <x:f>IF(D50="","",IF(OR(D50="교육지원과",D50="총무과",D50="인사과"),"직접입력",VLOOKUP(D50,구분표!$A$3:$C$258,3,)))</x:f>
        <x:v/>
      </x:c>
      <x:c r="D50" s="219"/>
      <x:c r="E50" s="213"/>
      <x:c r="F50" s="388" t="str">
        <x:f t="shared" si="42"/>
        <x:v/>
      </x:c>
      <x:c r="G50" s="388" t="str">
        <x:f t="shared" si="42"/>
        <x:v/>
      </x:c>
      <x:c r="H50" s="213"/>
      <x:c r="I50" s="156" t="str">
        <x:f>IF(H50="","",VLOOKUP($H50,구분표!$K$3:$M$151,2,FALSE))</x:f>
        <x:v/>
      </x:c>
      <x:c r="J50" s="156" t="str">
        <x:f>IF(I50="","",VLOOKUP($H50,구분표!$K$3:$M$151,3,FALSE))</x:f>
        <x:v/>
      </x:c>
      <x:c r="K50" s="233"/>
      <x:c r="L50" s="233"/>
      <x:c r="M50" s="459" t="str">
        <x:f t="shared" si="43"/>
        <x:v/>
      </x:c>
      <x:c r="N50" s="459" t="str">
        <x:f t="shared" si="44"/>
        <x:v/>
      </x:c>
      <x:c r="O50" s="461" t="str">
        <x:f t="shared" si="37"/>
        <x:v/>
      </x:c>
      <x:c r="P50" s="460"/>
      <x:c r="Q50" s="461">
        <x:f t="shared" si="38"/>
        <x:v>0</x:v>
      </x:c>
      <x:c r="R50" s="462"/>
      <x:c r="S50" s="463">
        <x:f t="shared" si="39"/>
        <x:v>0</x:v>
      </x:c>
      <x:c r="T50" s="162" t="str">
        <x:f t="shared" si="40"/>
        <x:v>X</x:v>
      </x:c>
      <x:c r="U50" s="552"/>
      <x:c r="V50" s="331"/>
      <x:c r="W50" s="221"/>
      <x:c r="X50" s="223"/>
      <x:c r="Y50" s="334"/>
      <x:c r="Z50" s="334"/>
      <x:c r="AA50" s="29"/>
      <x:c r="AB50" s="486">
        <x:f t="shared" si="5"/>
        <x:v>0</x:v>
      </x:c>
      <x:c r="AC50" s="487">
        <x:f t="shared" si="41"/>
        <x:v>0</x:v>
      </x:c>
      <x:c r="AD50" s="487">
        <x:f t="shared" si="6"/>
        <x:v>0</x:v>
      </x:c>
      <x:c r="AE50" s="487">
        <x:f t="shared" si="7"/>
        <x:v>0</x:v>
      </x:c>
      <x:c r="AF50" s="374" t="str">
        <x:f t="shared" si="8"/>
        <x:v/>
      </x:c>
      <x:c r="AG50" s="93"/>
      <x:c r="AH50" s="488">
        <x:f t="shared" si="9"/>
        <x:v>0</x:v>
      </x:c>
      <x:c r="AI50" s="487">
        <x:f t="shared" si="10"/>
        <x:v>0</x:v>
      </x:c>
      <x:c r="AJ50" s="487">
        <x:f t="shared" si="11"/>
        <x:v>0</x:v>
      </x:c>
      <x:c r="AK50" s="487">
        <x:f t="shared" si="12"/>
        <x:v>0</x:v>
      </x:c>
      <x:c r="AL50" s="374" t="str">
        <x:f t="shared" si="13"/>
        <x:v/>
      </x:c>
      <x:c r="AM50" s="92"/>
      <x:c r="AN50" s="221"/>
      <x:c r="AO50" s="374" t="str">
        <x:f>IF($AP50="","",IF($AN50="세입없음","OK",IF(OR($AP50="재원확인",$AN50=""),"@@",IF(COUNTIF('3. 일입'!$AK$8:$AK$2000,$AN50),"OK","@@"))))</x:f>
        <x:v/>
      </x:c>
      <x:c r="AP50" s="356" t="str">
        <x:f t="shared" si="14"/>
        <x:v/>
      </x:c>
      <x:c r="AQ50" s="374" t="str">
        <x:f>IF(AND($AN50="",$AP50=""),"",IF(AND($AN50&lt;&gt;"",$AP50&lt;&gt;""),IF(AN50="세입없음","OK",IF(VLOOKUP($AN50,'3. 일입'!$AK$7:$AL$2000,2,FALSE)=$AP50,"OK","@@")),"@@"))</x:f>
        <x:v/>
      </x:c>
      <x:c r="AR50" s="93"/>
      <x:c r="AS50" s="533"/>
      <x:c r="AT50" s="374" t="str">
        <x:f>IF($AS50="","",IF($AS50="세입없음","OK",IF(COUNTIF('3. 일입'!$AN$8:$AN$2000,$AS50),"OK","@@")))</x:f>
        <x:v/>
      </x:c>
      <x:c r="AU50" s="356" t="str">
        <x:f t="shared" si="15"/>
        <x:v/>
      </x:c>
      <x:c r="AV50" s="374" t="str">
        <x:f t="shared" si="16"/>
        <x:v/>
      </x:c>
      <x:c r="AW50" s="93"/>
      <x:c r="AX50" s="348"/>
      <x:c r="AY50" s="29"/>
    </x:row>
    <x:row r="51" spans="1:51" s="20" customFormat="1" ht="80.099999999999994" customHeight="1">
      <x:c r="A51" s="155" t="str">
        <x:f>IF(D51="","",COUNTA($C$7:C51)-COUNTBLANK($C$7:C51)+3)</x:f>
        <x:v/>
      </x:c>
      <x:c r="B51" s="156" t="str">
        <x: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x:f>
        <x:v/>
      </x:c>
      <x:c r="C51" s="156" t="str">
        <x:f>IF(D51="","",IF(OR(D51="교육지원과",D51="총무과",D51="인사과"),"직접입력",VLOOKUP(D51,구분표!$A$3:$C$258,3,)))</x:f>
        <x:v/>
      </x:c>
      <x:c r="D51" s="219"/>
      <x:c r="E51" s="213"/>
      <x:c r="F51" s="388" t="str">
        <x:f t="shared" si="42"/>
        <x:v/>
      </x:c>
      <x:c r="G51" s="388" t="str">
        <x:f t="shared" si="42"/>
        <x:v/>
      </x:c>
      <x:c r="H51" s="213"/>
      <x:c r="I51" s="156" t="str">
        <x:f>IF(H51="","",VLOOKUP($H51,구분표!$K$3:$M$151,2,FALSE))</x:f>
        <x:v/>
      </x:c>
      <x:c r="J51" s="156" t="str">
        <x:f>IF(I51="","",VLOOKUP($H51,구분표!$K$3:$M$151,3,FALSE))</x:f>
        <x:v/>
      </x:c>
      <x:c r="K51" s="233"/>
      <x:c r="L51" s="233"/>
      <x:c r="M51" s="459" t="str">
        <x:f t="shared" si="43"/>
        <x:v/>
      </x:c>
      <x:c r="N51" s="459" t="str">
        <x:f t="shared" si="44"/>
        <x:v/>
      </x:c>
      <x:c r="O51" s="461" t="str">
        <x:f t="shared" si="37"/>
        <x:v/>
      </x:c>
      <x:c r="P51" s="460"/>
      <x:c r="Q51" s="461">
        <x:f t="shared" si="38"/>
        <x:v>0</x:v>
      </x:c>
      <x:c r="R51" s="462"/>
      <x:c r="S51" s="463">
        <x:f t="shared" si="39"/>
        <x:v>0</x:v>
      </x:c>
      <x:c r="T51" s="162" t="str">
        <x:f t="shared" si="40"/>
        <x:v>X</x:v>
      </x:c>
      <x:c r="U51" s="552"/>
      <x:c r="V51" s="331"/>
      <x:c r="W51" s="221"/>
      <x:c r="X51" s="223"/>
      <x:c r="Y51" s="334"/>
      <x:c r="Z51" s="334"/>
      <x:c r="AA51" s="29"/>
      <x:c r="AB51" s="486">
        <x:f t="shared" si="5"/>
        <x:v>0</x:v>
      </x:c>
      <x:c r="AC51" s="487">
        <x:f t="shared" si="41"/>
        <x:v>0</x:v>
      </x:c>
      <x:c r="AD51" s="487">
        <x:f t="shared" si="6"/>
        <x:v>0</x:v>
      </x:c>
      <x:c r="AE51" s="487">
        <x:f t="shared" si="7"/>
        <x:v>0</x:v>
      </x:c>
      <x:c r="AF51" s="374" t="str">
        <x:f t="shared" si="8"/>
        <x:v/>
      </x:c>
      <x:c r="AG51" s="93"/>
      <x:c r="AH51" s="488">
        <x:f t="shared" si="9"/>
        <x:v>0</x:v>
      </x:c>
      <x:c r="AI51" s="487">
        <x:f t="shared" si="10"/>
        <x:v>0</x:v>
      </x:c>
      <x:c r="AJ51" s="487">
        <x:f t="shared" si="11"/>
        <x:v>0</x:v>
      </x:c>
      <x:c r="AK51" s="487">
        <x:f t="shared" si="12"/>
        <x:v>0</x:v>
      </x:c>
      <x:c r="AL51" s="374" t="str">
        <x:f t="shared" si="13"/>
        <x:v/>
      </x:c>
      <x:c r="AM51" s="92"/>
      <x:c r="AN51" s="221"/>
      <x:c r="AO51" s="374" t="str">
        <x:f>IF($AP51="","",IF($AN51="세입없음","OK",IF(OR($AP51="재원확인",$AN51=""),"@@",IF(COUNTIF('3. 일입'!$AK$8:$AK$2000,$AN51),"OK","@@"))))</x:f>
        <x:v/>
      </x:c>
      <x:c r="AP51" s="356" t="str">
        <x:f t="shared" si="14"/>
        <x:v/>
      </x:c>
      <x:c r="AQ51" s="374" t="str">
        <x:f>IF(AND($AN51="",$AP51=""),"",IF(AND($AN51&lt;&gt;"",$AP51&lt;&gt;""),IF(AN51="세입없음","OK",IF(VLOOKUP($AN51,'3. 일입'!$AK$7:$AL$2000,2,FALSE)=$AP51,"OK","@@")),"@@"))</x:f>
        <x:v/>
      </x:c>
      <x:c r="AR51" s="93"/>
      <x:c r="AS51" s="533"/>
      <x:c r="AT51" s="374" t="str">
        <x:f>IF($AS51="","",IF($AS51="세입없음","OK",IF(COUNTIF('3. 일입'!$AN$8:$AN$2000,$AS51),"OK","@@")))</x:f>
        <x:v/>
      </x:c>
      <x:c r="AU51" s="356" t="str">
        <x:f t="shared" si="15"/>
        <x:v/>
      </x:c>
      <x:c r="AV51" s="374" t="str">
        <x:f t="shared" si="16"/>
        <x:v/>
      </x:c>
      <x:c r="AW51" s="93"/>
      <x:c r="AX51" s="348"/>
      <x:c r="AY51" s="29"/>
    </x:row>
    <x:row r="52" spans="1:51" s="20" customFormat="1" ht="80.099999999999994" customHeight="1">
      <x:c r="A52" s="155" t="str">
        <x:f>IF(D52="","",COUNTA($C$7:C52)-COUNTBLANK($C$7:C52)+3)</x:f>
        <x:v/>
      </x:c>
      <x:c r="B52" s="156" t="str">
        <x: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x:f>
        <x:v/>
      </x:c>
      <x:c r="C52" s="156" t="str">
        <x:f>IF(D52="","",IF(OR(D52="교육지원과",D52="총무과",D52="인사과"),"직접입력",VLOOKUP(D52,구분표!$A$3:$C$258,3,)))</x:f>
        <x:v/>
      </x:c>
      <x:c r="D52" s="219"/>
      <x:c r="E52" s="213"/>
      <x:c r="F52" s="388" t="str">
        <x:f t="shared" si="42"/>
        <x:v/>
      </x:c>
      <x:c r="G52" s="388" t="str">
        <x:f t="shared" si="42"/>
        <x:v/>
      </x:c>
      <x:c r="H52" s="213"/>
      <x:c r="I52" s="156" t="str">
        <x:f>IF(H52="","",VLOOKUP($H52,구분표!$K$3:$M$151,2,FALSE))</x:f>
        <x:v/>
      </x:c>
      <x:c r="J52" s="156" t="str">
        <x:f>IF(I52="","",VLOOKUP($H52,구분표!$K$3:$M$151,3,FALSE))</x:f>
        <x:v/>
      </x:c>
      <x:c r="K52" s="233"/>
      <x:c r="L52" s="233"/>
      <x:c r="M52" s="459" t="str">
        <x:f t="shared" si="43"/>
        <x:v/>
      </x:c>
      <x:c r="N52" s="459" t="str">
        <x:f t="shared" si="44"/>
        <x:v/>
      </x:c>
      <x:c r="O52" s="461" t="str">
        <x:f t="shared" si="37"/>
        <x:v/>
      </x:c>
      <x:c r="P52" s="460"/>
      <x:c r="Q52" s="461">
        <x:f t="shared" si="38"/>
        <x:v>0</x:v>
      </x:c>
      <x:c r="R52" s="462"/>
      <x:c r="S52" s="463">
        <x:f t="shared" si="39"/>
        <x:v>0</x:v>
      </x:c>
      <x:c r="T52" s="162" t="str">
        <x:f t="shared" si="40"/>
        <x:v>X</x:v>
      </x:c>
      <x:c r="U52" s="552"/>
      <x:c r="V52" s="331"/>
      <x:c r="W52" s="221"/>
      <x:c r="X52" s="223"/>
      <x:c r="Y52" s="334"/>
      <x:c r="Z52" s="334"/>
      <x:c r="AA52" s="29"/>
      <x:c r="AB52" s="486">
        <x:f t="shared" si="5"/>
        <x:v>0</x:v>
      </x:c>
      <x:c r="AC52" s="487">
        <x:f t="shared" si="41"/>
        <x:v>0</x:v>
      </x:c>
      <x:c r="AD52" s="487">
        <x:f t="shared" si="6"/>
        <x:v>0</x:v>
      </x:c>
      <x:c r="AE52" s="487">
        <x:f t="shared" si="7"/>
        <x:v>0</x:v>
      </x:c>
      <x:c r="AF52" s="374" t="str">
        <x:f t="shared" si="8"/>
        <x:v/>
      </x:c>
      <x:c r="AG52" s="93"/>
      <x:c r="AH52" s="488">
        <x:f t="shared" si="9"/>
        <x:v>0</x:v>
      </x:c>
      <x:c r="AI52" s="487">
        <x:f t="shared" si="10"/>
        <x:v>0</x:v>
      </x:c>
      <x:c r="AJ52" s="487">
        <x:f t="shared" si="11"/>
        <x:v>0</x:v>
      </x:c>
      <x:c r="AK52" s="487">
        <x:f t="shared" si="12"/>
        <x:v>0</x:v>
      </x:c>
      <x:c r="AL52" s="374" t="str">
        <x:f t="shared" si="13"/>
        <x:v/>
      </x:c>
      <x:c r="AM52" s="92"/>
      <x:c r="AN52" s="221"/>
      <x:c r="AO52" s="374" t="str">
        <x:f>IF($AP52="","",IF($AN52="세입없음","OK",IF(OR($AP52="재원확인",$AN52=""),"@@",IF(COUNTIF('3. 일입'!$AK$8:$AK$2000,$AN52),"OK","@@"))))</x:f>
        <x:v/>
      </x:c>
      <x:c r="AP52" s="356" t="str">
        <x:f t="shared" si="14"/>
        <x:v/>
      </x:c>
      <x:c r="AQ52" s="374" t="str">
        <x:f>IF(AND($AN52="",$AP52=""),"",IF(AND($AN52&lt;&gt;"",$AP52&lt;&gt;""),IF(AN52="세입없음","OK",IF(VLOOKUP($AN52,'3. 일입'!$AK$7:$AL$2000,2,FALSE)=$AP52,"OK","@@")),"@@"))</x:f>
        <x:v/>
      </x:c>
      <x:c r="AR52" s="93"/>
      <x:c r="AS52" s="533"/>
      <x:c r="AT52" s="374" t="str">
        <x:f>IF($AS52="","",IF($AS52="세입없음","OK",IF(COUNTIF('3. 일입'!$AN$8:$AN$2000,$AS52),"OK","@@")))</x:f>
        <x:v/>
      </x:c>
      <x:c r="AU52" s="356" t="str">
        <x:f t="shared" si="15"/>
        <x:v/>
      </x:c>
      <x:c r="AV52" s="374" t="str">
        <x:f t="shared" si="16"/>
        <x:v/>
      </x:c>
      <x:c r="AW52" s="93"/>
      <x:c r="AX52" s="348"/>
      <x:c r="AY52" s="29"/>
    </x:row>
    <x:row r="53" spans="1:51" s="20" customFormat="1" ht="80.099999999999994" customHeight="1">
      <x:c r="A53" s="155" t="str">
        <x:f>IF(D53="","",COUNTA($C$7:C53)-COUNTBLANK($C$7:C53)+3)</x:f>
        <x:v/>
      </x:c>
      <x:c r="B53" s="156" t="str">
        <x: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x:f>
        <x:v/>
      </x:c>
      <x:c r="C53" s="156" t="str">
        <x:f>IF(D53="","",IF(OR(D53="교육지원과",D53="총무과",D53="인사과"),"직접입력",VLOOKUP(D53,구분표!$A$3:$C$258,3,)))</x:f>
        <x:v/>
      </x:c>
      <x:c r="D53" s="219"/>
      <x:c r="E53" s="213"/>
      <x:c r="F53" s="388" t="str">
        <x:f t="shared" si="42"/>
        <x:v/>
      </x:c>
      <x:c r="G53" s="388" t="str">
        <x:f t="shared" si="42"/>
        <x:v/>
      </x:c>
      <x:c r="H53" s="213"/>
      <x:c r="I53" s="156" t="str">
        <x:f>IF(H53="","",VLOOKUP($H53,구분표!$K$3:$M$151,2,FALSE))</x:f>
        <x:v/>
      </x:c>
      <x:c r="J53" s="156" t="str">
        <x:f>IF(I53="","",VLOOKUP($H53,구분표!$K$3:$M$151,3,FALSE))</x:f>
        <x:v/>
      </x:c>
      <x:c r="K53" s="233"/>
      <x:c r="L53" s="233"/>
      <x:c r="M53" s="459" t="str">
        <x:f t="shared" si="43"/>
        <x:v/>
      </x:c>
      <x:c r="N53" s="459" t="str">
        <x:f t="shared" si="44"/>
        <x:v/>
      </x:c>
      <x:c r="O53" s="461" t="str">
        <x:f t="shared" si="37"/>
        <x:v/>
      </x:c>
      <x:c r="P53" s="460"/>
      <x:c r="Q53" s="461">
        <x:f t="shared" si="38"/>
        <x:v>0</x:v>
      </x:c>
      <x:c r="R53" s="462"/>
      <x:c r="S53" s="463">
        <x:f t="shared" si="39"/>
        <x:v>0</x:v>
      </x:c>
      <x:c r="T53" s="162" t="str">
        <x:f t="shared" si="40"/>
        <x:v>X</x:v>
      </x:c>
      <x:c r="U53" s="552"/>
      <x:c r="V53" s="331"/>
      <x:c r="W53" s="221"/>
      <x:c r="X53" s="223"/>
      <x:c r="Y53" s="334"/>
      <x:c r="Z53" s="334"/>
      <x:c r="AA53" s="29"/>
      <x:c r="AB53" s="486">
        <x:f t="shared" si="5"/>
        <x:v>0</x:v>
      </x:c>
      <x:c r="AC53" s="487">
        <x:f t="shared" si="41"/>
        <x:v>0</x:v>
      </x:c>
      <x:c r="AD53" s="487">
        <x:f t="shared" si="6"/>
        <x:v>0</x:v>
      </x:c>
      <x:c r="AE53" s="487">
        <x:f t="shared" si="7"/>
        <x:v>0</x:v>
      </x:c>
      <x:c r="AF53" s="374" t="str">
        <x:f t="shared" si="8"/>
        <x:v/>
      </x:c>
      <x:c r="AG53" s="93"/>
      <x:c r="AH53" s="488">
        <x:f t="shared" si="9"/>
        <x:v>0</x:v>
      </x:c>
      <x:c r="AI53" s="487">
        <x:f t="shared" si="10"/>
        <x:v>0</x:v>
      </x:c>
      <x:c r="AJ53" s="487">
        <x:f t="shared" si="11"/>
        <x:v>0</x:v>
      </x:c>
      <x:c r="AK53" s="487">
        <x:f t="shared" si="12"/>
        <x:v>0</x:v>
      </x:c>
      <x:c r="AL53" s="374" t="str">
        <x:f t="shared" si="13"/>
        <x:v/>
      </x:c>
      <x:c r="AM53" s="92"/>
      <x:c r="AN53" s="221"/>
      <x:c r="AO53" s="374" t="str">
        <x:f>IF($AP53="","",IF($AN53="세입없음","OK",IF(OR($AP53="재원확인",$AN53=""),"@@",IF(COUNTIF('3. 일입'!$AK$8:$AK$2000,$AN53),"OK","@@"))))</x:f>
        <x:v/>
      </x:c>
      <x:c r="AP53" s="356" t="str">
        <x:f t="shared" si="14"/>
        <x:v/>
      </x:c>
      <x:c r="AQ53" s="374" t="str">
        <x:f>IF(AND($AN53="",$AP53=""),"",IF(AND($AN53&lt;&gt;"",$AP53&lt;&gt;""),IF(AN53="세입없음","OK",IF(VLOOKUP($AN53,'3. 일입'!$AK$7:$AL$2000,2,FALSE)=$AP53,"OK","@@")),"@@"))</x:f>
        <x:v/>
      </x:c>
      <x:c r="AR53" s="93"/>
      <x:c r="AS53" s="533"/>
      <x:c r="AT53" s="374" t="str">
        <x:f>IF($AS53="","",IF($AS53="세입없음","OK",IF(COUNTIF('3. 일입'!$AN$8:$AN$2000,$AS53),"OK","@@")))</x:f>
        <x:v/>
      </x:c>
      <x:c r="AU53" s="356" t="str">
        <x:f t="shared" si="15"/>
        <x:v/>
      </x:c>
      <x:c r="AV53" s="374" t="str">
        <x:f t="shared" si="16"/>
        <x:v/>
      </x:c>
      <x:c r="AW53" s="93"/>
      <x:c r="AX53" s="348"/>
      <x:c r="AY53" s="29"/>
    </x:row>
    <x:row r="54" spans="1:51" s="20" customFormat="1" ht="80.099999999999994" customHeight="1">
      <x:c r="A54" s="155" t="str">
        <x:f>IF(D54="","",COUNTA($C$7:C54)-COUNTBLANK($C$7:C54)+3)</x:f>
        <x:v/>
      </x:c>
      <x:c r="B54" s="156" t="str">
        <x: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x:f>
        <x:v/>
      </x:c>
      <x:c r="C54" s="156" t="str">
        <x:f>IF(D54="","",IF(OR(D54="교육지원과",D54="총무과",D54="인사과"),"직접입력",VLOOKUP(D54,구분표!$A$3:$C$258,3,)))</x:f>
        <x:v/>
      </x:c>
      <x:c r="D54" s="219"/>
      <x:c r="E54" s="213"/>
      <x:c r="F54" s="388" t="str">
        <x:f t="shared" si="42"/>
        <x:v/>
      </x:c>
      <x:c r="G54" s="388" t="str">
        <x:f t="shared" si="42"/>
        <x:v/>
      </x:c>
      <x:c r="H54" s="213"/>
      <x:c r="I54" s="156" t="str">
        <x:f>IF(H54="","",VLOOKUP($H54,구분표!$K$3:$M$151,2,FALSE))</x:f>
        <x:v/>
      </x:c>
      <x:c r="J54" s="156" t="str">
        <x:f>IF(I54="","",VLOOKUP($H54,구분표!$K$3:$M$151,3,FALSE))</x:f>
        <x:v/>
      </x:c>
      <x:c r="K54" s="233"/>
      <x:c r="L54" s="233"/>
      <x:c r="M54" s="459" t="str">
        <x:f t="shared" si="43"/>
        <x:v/>
      </x:c>
      <x:c r="N54" s="459" t="str">
        <x:f t="shared" si="44"/>
        <x:v/>
      </x:c>
      <x:c r="O54" s="461" t="str">
        <x:f t="shared" si="37"/>
        <x:v/>
      </x:c>
      <x:c r="P54" s="460"/>
      <x:c r="Q54" s="461">
        <x:f t="shared" si="38"/>
        <x:v>0</x:v>
      </x:c>
      <x:c r="R54" s="462"/>
      <x:c r="S54" s="463">
        <x:f t="shared" si="39"/>
        <x:v>0</x:v>
      </x:c>
      <x:c r="T54" s="162" t="str">
        <x:f t="shared" si="40"/>
        <x:v>X</x:v>
      </x:c>
      <x:c r="U54" s="552"/>
      <x:c r="V54" s="331"/>
      <x:c r="W54" s="221"/>
      <x:c r="X54" s="223"/>
      <x:c r="Y54" s="334"/>
      <x:c r="Z54" s="334"/>
      <x:c r="AA54" s="29"/>
      <x:c r="AB54" s="486">
        <x:f t="shared" si="5"/>
        <x:v>0</x:v>
      </x:c>
      <x:c r="AC54" s="487">
        <x:f t="shared" si="41"/>
        <x:v>0</x:v>
      </x:c>
      <x:c r="AD54" s="487">
        <x:f t="shared" si="6"/>
        <x:v>0</x:v>
      </x:c>
      <x:c r="AE54" s="487">
        <x:f t="shared" si="7"/>
        <x:v>0</x:v>
      </x:c>
      <x:c r="AF54" s="374" t="str">
        <x:f t="shared" si="8"/>
        <x:v/>
      </x:c>
      <x:c r="AG54" s="93"/>
      <x:c r="AH54" s="488">
        <x:f t="shared" si="9"/>
        <x:v>0</x:v>
      </x:c>
      <x:c r="AI54" s="487">
        <x:f t="shared" si="10"/>
        <x:v>0</x:v>
      </x:c>
      <x:c r="AJ54" s="487">
        <x:f t="shared" si="11"/>
        <x:v>0</x:v>
      </x:c>
      <x:c r="AK54" s="487">
        <x:f t="shared" si="12"/>
        <x:v>0</x:v>
      </x:c>
      <x:c r="AL54" s="374" t="str">
        <x:f t="shared" si="13"/>
        <x:v/>
      </x:c>
      <x:c r="AM54" s="92"/>
      <x:c r="AN54" s="221"/>
      <x:c r="AO54" s="374" t="str">
        <x:f>IF($AP54="","",IF($AN54="세입없음","OK",IF(OR($AP54="재원확인",$AN54=""),"@@",IF(COUNTIF('3. 일입'!$AK$8:$AK$2000,$AN54),"OK","@@"))))</x:f>
        <x:v/>
      </x:c>
      <x:c r="AP54" s="356" t="str">
        <x:f t="shared" si="14"/>
        <x:v/>
      </x:c>
      <x:c r="AQ54" s="374" t="str">
        <x:f>IF(AND($AN54="",$AP54=""),"",IF(AND($AN54&lt;&gt;"",$AP54&lt;&gt;""),IF(AN54="세입없음","OK",IF(VLOOKUP($AN54,'3. 일입'!$AK$7:$AL$2000,2,FALSE)=$AP54,"OK","@@")),"@@"))</x:f>
        <x:v/>
      </x:c>
      <x:c r="AR54" s="93"/>
      <x:c r="AS54" s="533"/>
      <x:c r="AT54" s="374" t="str">
        <x:f>IF($AS54="","",IF($AS54="세입없음","OK",IF(COUNTIF('3. 일입'!$AN$8:$AN$2000,$AS54),"OK","@@")))</x:f>
        <x:v/>
      </x:c>
      <x:c r="AU54" s="356" t="str">
        <x:f t="shared" si="15"/>
        <x:v/>
      </x:c>
      <x:c r="AV54" s="374" t="str">
        <x:f t="shared" si="16"/>
        <x:v/>
      </x:c>
      <x:c r="AW54" s="93"/>
      <x:c r="AX54" s="348"/>
      <x:c r="AY54" s="29"/>
    </x:row>
    <x:row r="55" spans="1:51" s="345" customFormat="1" ht="60" customHeight="1">
      <x:c r="A55" s="337"/>
      <x:c r="B55" s="971" t="s">
        <x:v>1526</x:v>
      </x:c>
      <x:c r="C55" s="971"/>
      <x:c r="D55" s="971"/>
      <x:c r="E55" s="971"/>
      <x:c r="F55" s="971"/>
      <x:c r="G55" s="971"/>
      <x:c r="H55" s="338"/>
      <x:c r="I55" s="359"/>
      <x:c r="J55" s="359"/>
      <x:c r="K55" s="339"/>
      <x:c r="L55" s="340" t="str">
        <x:f>SUBTOTAL(3,$L56:$L70)&amp;"건"</x:f>
        <x:v>0건</x:v>
      </x:c>
      <x:c r="M55" s="476">
        <x:f t="shared" ref="M55:N55" si="45">SUBTOTAL(9,M56:M70)</x:f>
        <x:v>0</x:v>
      </x:c>
      <x:c r="N55" s="476">
        <x:f t="shared" si="45"/>
        <x:v>0</x:v>
      </x:c>
      <x:c r="O55" s="482">
        <x:f t="shared" ref="O55:S55" si="46">SUBTOTAL(9,O56:O70)</x:f>
        <x:v>0</x:v>
      </x:c>
      <x:c r="P55" s="482">
        <x:f t="shared" si="46"/>
        <x:v>0</x:v>
      </x:c>
      <x:c r="Q55" s="482">
        <x:f t="shared" si="46"/>
        <x:v>0</x:v>
      </x:c>
      <x:c r="R55" s="482">
        <x:f t="shared" si="46"/>
        <x:v>0</x:v>
      </x:c>
      <x:c r="S55" s="482">
        <x:f t="shared" si="46"/>
        <x:v>0</x:v>
      </x:c>
      <x:c r="T55" s="337"/>
      <x:c r="U55" s="551"/>
      <x:c r="V55" s="341"/>
      <x:c r="W55" s="342"/>
      <x:c r="X55" s="343"/>
      <x:c r="Y55" s="343"/>
      <x:c r="Z55" s="343"/>
      <x:c r="AA55" s="344"/>
      <x:c r="AB55" s="483">
        <x:f>SUBTOTAL(9,AB56:AB70)</x:f>
        <x:v>0</x:v>
      </x:c>
      <x:c r="AC55" s="483">
        <x:f>SUBTOTAL(9,AC56:AC70)</x:f>
        <x:v>0</x:v>
      </x:c>
      <x:c r="AD55" s="483">
        <x:f>SUBTOTAL(9,AD56:AD70)</x:f>
        <x:v>0</x:v>
      </x:c>
      <x:c r="AE55" s="483">
        <x:f>SUBTOTAL(9,AE56:AE70)</x:f>
        <x:v>0</x:v>
      </x:c>
      <x:c r="AF55" s="554" t="str">
        <x:f>IF(COUNTIF(AF56:AF70,"@@")&gt;0,"@@","OK")</x:f>
        <x:v>OK</x:v>
      </x:c>
      <x:c r="AG55" s="344"/>
      <x:c r="AH55" s="483">
        <x:f>SUBTOTAL(9,AH56:AH70)</x:f>
        <x:v>0</x:v>
      </x:c>
      <x:c r="AI55" s="483">
        <x:f>SUBTOTAL(9,AI56:AI70)</x:f>
        <x:v>0</x:v>
      </x:c>
      <x:c r="AJ55" s="483">
        <x:f>SUBTOTAL(9,AJ56:AJ70)</x:f>
        <x:v>0</x:v>
      </x:c>
      <x:c r="AK55" s="483">
        <x:f>SUBTOTAL(9,AK56:AK70)</x:f>
        <x:v>0</x:v>
      </x:c>
      <x:c r="AL55" s="554" t="str">
        <x:f>IF(COUNTIF(AL56:AL70,"@@")&gt;0,"@@","OK")</x:f>
        <x:v>OK</x:v>
      </x:c>
      <x:c r="AM55" s="344"/>
      <x:c r="AN55" s="343"/>
      <x:c r="AO55" s="554" t="str">
        <x:f>IF(COUNTIF(AO56:AO70,"@@")&gt;0,"@@","OK")</x:f>
        <x:v>OK</x:v>
      </x:c>
      <x:c r="AP55" s="343"/>
      <x:c r="AQ55" s="554" t="str">
        <x:f>IF(COUNTIF(AQ56:AQ70,"@@")&gt;0,"@@","OK")</x:f>
        <x:v>OK</x:v>
      </x:c>
      <x:c r="AR55" s="344"/>
      <x:c r="AS55" s="343"/>
      <x:c r="AT55" s="554" t="str">
        <x:f>IF(COUNTIF(AT56:AT70,"@@")&gt;0,"@@","OK")</x:f>
        <x:v>OK</x:v>
      </x:c>
      <x:c r="AU55" s="343"/>
      <x:c r="AV55" s="554" t="str">
        <x:f>IF(COUNTIF(AV56:AV70,"@@")&gt;0,"@@","OK")</x:f>
        <x:v>OK</x:v>
      </x:c>
      <x:c r="AW55" s="344"/>
      <x:c r="AX55" s="343"/>
      <x:c r="AY55" s="344"/>
    </x:row>
    <x:row r="56" spans="1:51" ht="80.099999999999994" customHeight="1">
      <x:c r="A56" s="155" t="str">
        <x:f>IF(D56="","",COUNTA($C$7:C56)-COUNTBLANK($C$7:C56)+4)</x:f>
        <x:v/>
      </x:c>
      <x:c r="B56" s="156" t="str">
        <x: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x:f>
        <x:v/>
      </x:c>
      <x:c r="C56" s="156" t="str">
        <x:f>IF(D56="","",IF(OR(D56="교육지원과",D56="총무과",D56="인사과"),"직접입력",VLOOKUP(D56,구분표!$A$3:$C$258,3,)))</x:f>
        <x:v/>
      </x:c>
      <x:c r="D56" s="219"/>
      <x:c r="E56" s="213"/>
      <x:c r="F56" s="388" t="str">
        <x:f>IF($E56="","",IF($E56="2추","직접입력","-"))</x:f>
        <x:v/>
      </x:c>
      <x:c r="G56" s="388" t="str">
        <x:f>IF($E56="","",IF($E56="2추","직접입력","-"))</x:f>
        <x:v/>
      </x:c>
      <x:c r="H56" s="213"/>
      <x:c r="I56" s="156" t="str">
        <x:f>IF(H56="","",VLOOKUP($H56,구분표!$K$3:$M$151,2,FALSE))</x:f>
        <x:v/>
      </x:c>
      <x:c r="J56" s="156" t="str">
        <x:f>IF(I56="","",VLOOKUP($H56,구분표!$K$3:$M$151,3,FALSE))</x:f>
        <x:v/>
      </x:c>
      <x:c r="K56" s="233"/>
      <x:c r="L56" s="233"/>
      <x:c r="M56" s="459" t="str">
        <x:f>IF($E56="","",IF(OR($E56="2추",$E56="1추",$E56="본예산"),"금액입력","-"))</x:f>
        <x:v/>
      </x:c>
      <x:c r="N56" s="459" t="str">
        <x:f>IF($E56="","",IF($E56="2추","금액입력","-"))</x:f>
        <x:v/>
      </x:c>
      <x:c r="O56" s="461" t="str">
        <x:f t="shared" ref="O56:O70" si="47">IF($E56="","",SUM(M56:N56))</x:f>
        <x:v/>
      </x:c>
      <x:c r="P56" s="460"/>
      <x:c r="Q56" s="461">
        <x:f t="shared" ref="Q56:Q70" si="48">SUM(O56:P56)</x:f>
        <x:v>0</x:v>
      </x:c>
      <x:c r="R56" s="462"/>
      <x:c r="S56" s="463">
        <x:f t="shared" ref="S56:S70" si="49">SUM(O56,R56)</x:f>
        <x:v>0</x:v>
      </x:c>
      <x:c r="T56" s="162" t="str">
        <x:f t="shared" ref="T56:T70" si="50">IF(AND((Q56=0),(S56&gt;0)),"O",IF(AND((P56&lt;0),(Q56-S56&lt;0)),"O","X"))</x:f>
        <x:v>X</x:v>
      </x:c>
      <x:c r="U56" s="552"/>
      <x:c r="V56" s="331"/>
      <x:c r="W56" s="221"/>
      <x:c r="X56" s="223"/>
      <x:c r="Y56" s="334"/>
      <x:c r="Z56" s="334"/>
      <x:c r="AA56" s="29"/>
      <x:c r="AB56" s="486">
        <x:f t="shared" si="5"/>
        <x:v>0</x:v>
      </x:c>
      <x:c r="AC56" s="487">
        <x:f t="shared" ref="AC56:AC70" si="51">IF($P56="",0,IF(AND(ISNUMBER($AB56),ISNUMBER(AD56),ISNUMBER(AE56)),$P56-$AB56-$AD56-$AE56,0))</x:f>
        <x:v>0</x:v>
      </x:c>
      <x:c r="AD56" s="487">
        <x:f t="shared" si="6"/>
        <x:v>0</x:v>
      </x:c>
      <x:c r="AE56" s="487">
        <x:f t="shared" si="7"/>
        <x:v>0</x:v>
      </x:c>
      <x:c r="AF56" s="374" t="str">
        <x:f t="shared" si="8"/>
        <x:v/>
      </x:c>
      <x:c r="AG56" s="93"/>
      <x:c r="AH56" s="488">
        <x:f t="shared" si="9"/>
        <x:v>0</x:v>
      </x:c>
      <x:c r="AI56" s="487">
        <x:f t="shared" si="10"/>
        <x:v>0</x:v>
      </x:c>
      <x:c r="AJ56" s="487">
        <x:f t="shared" si="11"/>
        <x:v>0</x:v>
      </x:c>
      <x:c r="AK56" s="487">
        <x:f t="shared" si="12"/>
        <x:v>0</x:v>
      </x:c>
      <x:c r="AL56" s="374" t="str">
        <x:f t="shared" si="13"/>
        <x:v/>
      </x:c>
      <x:c r="AM56" s="92"/>
      <x:c r="AN56" s="221"/>
      <x:c r="AO56" s="374" t="str">
        <x:f>IF($AP56="","",IF($AN56="세입없음","OK",IF(OR($AP56="재원확인",$AN56=""),"@@",IF(COUNTIF('3. 일입'!$AK$8:$AK$2000,$AN56),"OK","@@"))))</x:f>
        <x:v/>
      </x:c>
      <x:c r="AP56" s="356" t="str">
        <x:f t="shared" si="14"/>
        <x:v/>
      </x:c>
      <x:c r="AQ56" s="374" t="str">
        <x:f>IF(AND($AN56="",$AP56=""),"",IF(AND($AN56&lt;&gt;"",$AP56&lt;&gt;""),IF(AN56="세입없음","OK",IF(VLOOKUP($AN56,'3. 일입'!$AK$7:$AL$2000,2,FALSE)=$AP56,"OK","@@")),"@@"))</x:f>
        <x:v/>
      </x:c>
      <x:c r="AR56" s="93"/>
      <x:c r="AS56" s="533"/>
      <x:c r="AT56" s="374" t="str">
        <x:f>IF($AS56="","",IF($AS56="세입없음","OK",IF(COUNTIF('3. 일입'!$AN$8:$AN$2000,$AS56),"OK","@@")))</x:f>
        <x:v/>
      </x:c>
      <x:c r="AU56" s="356" t="str">
        <x:f t="shared" si="15"/>
        <x:v/>
      </x:c>
      <x:c r="AV56" s="374" t="str">
        <x:f t="shared" si="16"/>
        <x:v/>
      </x:c>
      <x:c r="AW56" s="93"/>
      <x:c r="AX56" s="348"/>
      <x:c r="AY56" s="28"/>
    </x:row>
    <x:row r="57" spans="1:51" s="20" customFormat="1" ht="80.099999999999994" customHeight="1">
      <x:c r="A57" s="155" t="str">
        <x:f>IF(D57="","",COUNTA($C$7:C57)-COUNTBLANK($C$7:C57)+4)</x:f>
        <x:v/>
      </x:c>
      <x:c r="B57" s="156" t="str">
        <x: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x:f>
        <x:v/>
      </x:c>
      <x:c r="C57" s="156" t="str">
        <x:f>IF(D57="","",IF(OR(D57="교육지원과",D57="총무과",D57="인사과"),"직접입력",VLOOKUP(D57,구분표!$A$3:$C$258,3,)))</x:f>
        <x:v/>
      </x:c>
      <x:c r="D57" s="219"/>
      <x:c r="E57" s="213"/>
      <x:c r="F57" s="388" t="str">
        <x:f t="shared" ref="F57:G70" si="52">IF($E57="","",IF($E57="2추","직접입력","-"))</x:f>
        <x:v/>
      </x:c>
      <x:c r="G57" s="388" t="str">
        <x:f t="shared" si="52"/>
        <x:v/>
      </x:c>
      <x:c r="H57" s="213"/>
      <x:c r="I57" s="156" t="str">
        <x:f>IF(H57="","",VLOOKUP($H57,구분표!$K$3:$M$151,2,FALSE))</x:f>
        <x:v/>
      </x:c>
      <x:c r="J57" s="156" t="str">
        <x:f>IF(I57="","",VLOOKUP($H57,구분표!$K$3:$M$151,3,FALSE))</x:f>
        <x:v/>
      </x:c>
      <x:c r="K57" s="233"/>
      <x:c r="L57" s="233"/>
      <x:c r="M57" s="459" t="str">
        <x:f t="shared" ref="M57:M70" si="53">IF($E57="","",IF(OR($E57="2추",$E57="1추",$E57="본예산"),"금액입력","-"))</x:f>
        <x:v/>
      </x:c>
      <x:c r="N57" s="459" t="str">
        <x:f t="shared" ref="N57:N70" si="54">IF($E57="","",IF($E57="2추","금액입력","-"))</x:f>
        <x:v/>
      </x:c>
      <x:c r="O57" s="461" t="str">
        <x:f t="shared" si="47"/>
        <x:v/>
      </x:c>
      <x:c r="P57" s="460"/>
      <x:c r="Q57" s="461">
        <x:f t="shared" si="48"/>
        <x:v>0</x:v>
      </x:c>
      <x:c r="R57" s="462"/>
      <x:c r="S57" s="463">
        <x:f t="shared" si="49"/>
        <x:v>0</x:v>
      </x:c>
      <x:c r="T57" s="162" t="str">
        <x:f t="shared" si="50"/>
        <x:v>X</x:v>
      </x:c>
      <x:c r="U57" s="552"/>
      <x:c r="V57" s="331"/>
      <x:c r="W57" s="221"/>
      <x:c r="X57" s="223"/>
      <x:c r="Y57" s="334"/>
      <x:c r="Z57" s="334"/>
      <x:c r="AA57" s="29"/>
      <x:c r="AB57" s="486">
        <x:f t="shared" si="5"/>
        <x:v>0</x:v>
      </x:c>
      <x:c r="AC57" s="487">
        <x:f t="shared" si="51"/>
        <x:v>0</x:v>
      </x:c>
      <x:c r="AD57" s="487">
        <x:f t="shared" si="6"/>
        <x:v>0</x:v>
      </x:c>
      <x:c r="AE57" s="487">
        <x:f t="shared" si="7"/>
        <x:v>0</x:v>
      </x:c>
      <x:c r="AF57" s="374" t="str">
        <x:f t="shared" si="8"/>
        <x:v/>
      </x:c>
      <x:c r="AG57" s="93"/>
      <x:c r="AH57" s="488">
        <x:f t="shared" si="9"/>
        <x:v>0</x:v>
      </x:c>
      <x:c r="AI57" s="487">
        <x:f t="shared" si="10"/>
        <x:v>0</x:v>
      </x:c>
      <x:c r="AJ57" s="487">
        <x:f t="shared" si="11"/>
        <x:v>0</x:v>
      </x:c>
      <x:c r="AK57" s="487">
        <x:f t="shared" si="12"/>
        <x:v>0</x:v>
      </x:c>
      <x:c r="AL57" s="374" t="str">
        <x:f t="shared" si="13"/>
        <x:v/>
      </x:c>
      <x:c r="AM57" s="92"/>
      <x:c r="AN57" s="221"/>
      <x:c r="AO57" s="374" t="str">
        <x:f>IF($AP57="","",IF($AN57="세입없음","OK",IF(OR($AP57="재원확인",$AN57=""),"@@",IF(COUNTIF('3. 일입'!$AK$8:$AK$2000,$AN57),"OK","@@"))))</x:f>
        <x:v/>
      </x:c>
      <x:c r="AP57" s="356" t="str">
        <x:f t="shared" si="14"/>
        <x:v/>
      </x:c>
      <x:c r="AQ57" s="374" t="str">
        <x:f>IF(AND($AN57="",$AP57=""),"",IF(AND($AN57&lt;&gt;"",$AP57&lt;&gt;""),IF(AN57="세입없음","OK",IF(VLOOKUP($AN57,'3. 일입'!$AK$7:$AL$2000,2,FALSE)=$AP57,"OK","@@")),"@@"))</x:f>
        <x:v/>
      </x:c>
      <x:c r="AR57" s="93"/>
      <x:c r="AS57" s="533"/>
      <x:c r="AT57" s="374" t="str">
        <x:f>IF($AS57="","",IF($AS57="세입없음","OK",IF(COUNTIF('3. 일입'!$AN$8:$AN$2000,$AS57),"OK","@@")))</x:f>
        <x:v/>
      </x:c>
      <x:c r="AU57" s="356" t="str">
        <x:f t="shared" si="15"/>
        <x:v/>
      </x:c>
      <x:c r="AV57" s="374" t="str">
        <x:f t="shared" si="16"/>
        <x:v/>
      </x:c>
      <x:c r="AW57" s="93"/>
      <x:c r="AX57" s="348"/>
      <x:c r="AY57" s="29"/>
    </x:row>
    <x:row r="58" spans="1:51" s="20" customFormat="1" ht="80.099999999999994" customHeight="1">
      <x:c r="A58" s="155" t="str">
        <x:f>IF(D58="","",COUNTA($C$7:C58)-COUNTBLANK($C$7:C58)+4)</x:f>
        <x:v/>
      </x:c>
      <x:c r="B58" s="156" t="str">
        <x: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x:f>
        <x:v/>
      </x:c>
      <x:c r="C58" s="156" t="str">
        <x:f>IF(D58="","",IF(OR(D58="교육지원과",D58="총무과",D58="인사과"),"직접입력",VLOOKUP(D58,구분표!$A$3:$C$258,3,)))</x:f>
        <x:v/>
      </x:c>
      <x:c r="D58" s="219"/>
      <x:c r="E58" s="213"/>
      <x:c r="F58" s="388" t="str">
        <x:f t="shared" si="52"/>
        <x:v/>
      </x:c>
      <x:c r="G58" s="388" t="str">
        <x:f t="shared" si="52"/>
        <x:v/>
      </x:c>
      <x:c r="H58" s="213"/>
      <x:c r="I58" s="156" t="str">
        <x:f>IF(H58="","",VLOOKUP($H58,구분표!$K$3:$M$151,2,FALSE))</x:f>
        <x:v/>
      </x:c>
      <x:c r="J58" s="156" t="str">
        <x:f>IF(I58="","",VLOOKUP($H58,구분표!$K$3:$M$151,3,FALSE))</x:f>
        <x:v/>
      </x:c>
      <x:c r="K58" s="233"/>
      <x:c r="L58" s="233"/>
      <x:c r="M58" s="459" t="str">
        <x:f t="shared" si="53"/>
        <x:v/>
      </x:c>
      <x:c r="N58" s="459" t="str">
        <x:f t="shared" si="54"/>
        <x:v/>
      </x:c>
      <x:c r="O58" s="461" t="str">
        <x:f t="shared" si="47"/>
        <x:v/>
      </x:c>
      <x:c r="P58" s="460"/>
      <x:c r="Q58" s="461">
        <x:f t="shared" si="48"/>
        <x:v>0</x:v>
      </x:c>
      <x:c r="R58" s="462"/>
      <x:c r="S58" s="463">
        <x:f t="shared" si="49"/>
        <x:v>0</x:v>
      </x:c>
      <x:c r="T58" s="162" t="str">
        <x:f t="shared" si="50"/>
        <x:v>X</x:v>
      </x:c>
      <x:c r="U58" s="552"/>
      <x:c r="V58" s="331"/>
      <x:c r="W58" s="221"/>
      <x:c r="X58" s="223"/>
      <x:c r="Y58" s="334"/>
      <x:c r="Z58" s="334"/>
      <x:c r="AA58" s="29"/>
      <x:c r="AB58" s="486">
        <x:f t="shared" si="5"/>
        <x:v>0</x:v>
      </x:c>
      <x:c r="AC58" s="487">
        <x:f t="shared" si="51"/>
        <x:v>0</x:v>
      </x:c>
      <x:c r="AD58" s="487">
        <x:f t="shared" si="6"/>
        <x:v>0</x:v>
      </x:c>
      <x:c r="AE58" s="487">
        <x:f t="shared" si="7"/>
        <x:v>0</x:v>
      </x:c>
      <x:c r="AF58" s="374" t="str">
        <x:f t="shared" si="8"/>
        <x:v/>
      </x:c>
      <x:c r="AG58" s="93"/>
      <x:c r="AH58" s="488">
        <x:f t="shared" si="9"/>
        <x:v>0</x:v>
      </x:c>
      <x:c r="AI58" s="487">
        <x:f t="shared" si="10"/>
        <x:v>0</x:v>
      </x:c>
      <x:c r="AJ58" s="487">
        <x:f t="shared" si="11"/>
        <x:v>0</x:v>
      </x:c>
      <x:c r="AK58" s="487">
        <x:f t="shared" si="12"/>
        <x:v>0</x:v>
      </x:c>
      <x:c r="AL58" s="374" t="str">
        <x:f t="shared" si="13"/>
        <x:v/>
      </x:c>
      <x:c r="AM58" s="92"/>
      <x:c r="AN58" s="221"/>
      <x:c r="AO58" s="374" t="str">
        <x:f>IF($AP58="","",IF($AN58="세입없음","OK",IF(OR($AP58="재원확인",$AN58=""),"@@",IF(COUNTIF('3. 일입'!$AK$8:$AK$2000,$AN58),"OK","@@"))))</x:f>
        <x:v/>
      </x:c>
      <x:c r="AP58" s="356" t="str">
        <x:f t="shared" si="14"/>
        <x:v/>
      </x:c>
      <x:c r="AQ58" s="374" t="str">
        <x:f>IF(AND($AN58="",$AP58=""),"",IF(AND($AN58&lt;&gt;"",$AP58&lt;&gt;""),IF(AN58="세입없음","OK",IF(VLOOKUP($AN58,'3. 일입'!$AK$7:$AL$2000,2,FALSE)=$AP58,"OK","@@")),"@@"))</x:f>
        <x:v/>
      </x:c>
      <x:c r="AR58" s="93"/>
      <x:c r="AS58" s="533"/>
      <x:c r="AT58" s="374" t="str">
        <x:f>IF($AS58="","",IF($AS58="세입없음","OK",IF(COUNTIF('3. 일입'!$AN$8:$AN$2000,$AS58),"OK","@@")))</x:f>
        <x:v/>
      </x:c>
      <x:c r="AU58" s="356" t="str">
        <x:f t="shared" si="15"/>
        <x:v/>
      </x:c>
      <x:c r="AV58" s="374" t="str">
        <x:f t="shared" si="16"/>
        <x:v/>
      </x:c>
      <x:c r="AW58" s="93"/>
      <x:c r="AX58" s="348"/>
      <x:c r="AY58" s="29"/>
    </x:row>
    <x:row r="59" spans="1:51" s="20" customFormat="1" ht="80.099999999999994" customHeight="1">
      <x:c r="A59" s="155" t="str">
        <x:f>IF(D59="","",COUNTA($C$7:C59)-COUNTBLANK($C$7:C59)+4)</x:f>
        <x:v/>
      </x:c>
      <x:c r="B59" s="156" t="str">
        <x: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x:f>
        <x:v/>
      </x:c>
      <x:c r="C59" s="156" t="str">
        <x:f>IF(D59="","",IF(OR(D59="교육지원과",D59="총무과",D59="인사과"),"직접입력",VLOOKUP(D59,구분표!$A$3:$C$258,3,)))</x:f>
        <x:v/>
      </x:c>
      <x:c r="D59" s="219"/>
      <x:c r="E59" s="213"/>
      <x:c r="F59" s="388" t="str">
        <x:f t="shared" si="52"/>
        <x:v/>
      </x:c>
      <x:c r="G59" s="388" t="str">
        <x:f t="shared" si="52"/>
        <x:v/>
      </x:c>
      <x:c r="H59" s="213"/>
      <x:c r="I59" s="156" t="str">
        <x:f>IF(H59="","",VLOOKUP($H59,구분표!$K$3:$M$151,2,FALSE))</x:f>
        <x:v/>
      </x:c>
      <x:c r="J59" s="156" t="str">
        <x:f>IF(I59="","",VLOOKUP($H59,구분표!$K$3:$M$151,3,FALSE))</x:f>
        <x:v/>
      </x:c>
      <x:c r="K59" s="233"/>
      <x:c r="L59" s="233"/>
      <x:c r="M59" s="459" t="str">
        <x:f t="shared" si="53"/>
        <x:v/>
      </x:c>
      <x:c r="N59" s="459" t="str">
        <x:f t="shared" si="54"/>
        <x:v/>
      </x:c>
      <x:c r="O59" s="461" t="str">
        <x:f t="shared" si="47"/>
        <x:v/>
      </x:c>
      <x:c r="P59" s="460"/>
      <x:c r="Q59" s="461">
        <x:f t="shared" si="48"/>
        <x:v>0</x:v>
      </x:c>
      <x:c r="R59" s="462"/>
      <x:c r="S59" s="463">
        <x:f t="shared" si="49"/>
        <x:v>0</x:v>
      </x:c>
      <x:c r="T59" s="162" t="str">
        <x:f t="shared" si="50"/>
        <x:v>X</x:v>
      </x:c>
      <x:c r="U59" s="552"/>
      <x:c r="V59" s="331"/>
      <x:c r="W59" s="221"/>
      <x:c r="X59" s="223"/>
      <x:c r="Y59" s="334"/>
      <x:c r="Z59" s="334"/>
      <x:c r="AA59" s="29"/>
      <x:c r="AB59" s="486">
        <x:f t="shared" si="5"/>
        <x:v>0</x:v>
      </x:c>
      <x:c r="AC59" s="487">
        <x:f t="shared" si="51"/>
        <x:v>0</x:v>
      </x:c>
      <x:c r="AD59" s="487">
        <x:f t="shared" si="6"/>
        <x:v>0</x:v>
      </x:c>
      <x:c r="AE59" s="487">
        <x:f t="shared" si="7"/>
        <x:v>0</x:v>
      </x:c>
      <x:c r="AF59" s="374" t="str">
        <x:f t="shared" si="8"/>
        <x:v/>
      </x:c>
      <x:c r="AG59" s="93"/>
      <x:c r="AH59" s="488">
        <x:f t="shared" si="9"/>
        <x:v>0</x:v>
      </x:c>
      <x:c r="AI59" s="487">
        <x:f t="shared" si="10"/>
        <x:v>0</x:v>
      </x:c>
      <x:c r="AJ59" s="487">
        <x:f t="shared" si="11"/>
        <x:v>0</x:v>
      </x:c>
      <x:c r="AK59" s="487">
        <x:f t="shared" si="12"/>
        <x:v>0</x:v>
      </x:c>
      <x:c r="AL59" s="374" t="str">
        <x:f t="shared" si="13"/>
        <x:v/>
      </x:c>
      <x:c r="AM59" s="92"/>
      <x:c r="AN59" s="221"/>
      <x:c r="AO59" s="374" t="str">
        <x:f>IF($AP59="","",IF($AN59="세입없음","OK",IF(OR($AP59="재원확인",$AN59=""),"@@",IF(COUNTIF('3. 일입'!$AK$8:$AK$2000,$AN59),"OK","@@"))))</x:f>
        <x:v/>
      </x:c>
      <x:c r="AP59" s="356" t="str">
        <x:f t="shared" si="14"/>
        <x:v/>
      </x:c>
      <x:c r="AQ59" s="374" t="str">
        <x:f>IF(AND($AN59="",$AP59=""),"",IF(AND($AN59&lt;&gt;"",$AP59&lt;&gt;""),IF(AN59="세입없음","OK",IF(VLOOKUP($AN59,'3. 일입'!$AK$7:$AL$2000,2,FALSE)=$AP59,"OK","@@")),"@@"))</x:f>
        <x:v/>
      </x:c>
      <x:c r="AR59" s="93"/>
      <x:c r="AS59" s="533"/>
      <x:c r="AT59" s="374" t="str">
        <x:f>IF($AS59="","",IF($AS59="세입없음","OK",IF(COUNTIF('3. 일입'!$AN$8:$AN$2000,$AS59),"OK","@@")))</x:f>
        <x:v/>
      </x:c>
      <x:c r="AU59" s="356" t="str">
        <x:f t="shared" si="15"/>
        <x:v/>
      </x:c>
      <x:c r="AV59" s="374" t="str">
        <x:f t="shared" si="16"/>
        <x:v/>
      </x:c>
      <x:c r="AW59" s="93"/>
      <x:c r="AX59" s="348"/>
      <x:c r="AY59" s="29"/>
    </x:row>
    <x:row r="60" spans="1:51" s="20" customFormat="1" ht="80.099999999999994" customHeight="1">
      <x:c r="A60" s="155" t="str">
        <x:f>IF(D60="","",COUNTA($C$7:C60)-COUNTBLANK($C$7:C60)+4)</x:f>
        <x:v/>
      </x:c>
      <x:c r="B60" s="156" t="str">
        <x: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x:f>
        <x:v/>
      </x:c>
      <x:c r="C60" s="156" t="str">
        <x:f>IF(D60="","",IF(OR(D60="교육지원과",D60="총무과",D60="인사과"),"직접입력",VLOOKUP(D60,구분표!$A$3:$C$258,3,)))</x:f>
        <x:v/>
      </x:c>
      <x:c r="D60" s="219"/>
      <x:c r="E60" s="213"/>
      <x:c r="F60" s="388" t="str">
        <x:f t="shared" si="52"/>
        <x:v/>
      </x:c>
      <x:c r="G60" s="388" t="str">
        <x:f t="shared" si="52"/>
        <x:v/>
      </x:c>
      <x:c r="H60" s="213"/>
      <x:c r="I60" s="156" t="str">
        <x:f>IF(H60="","",VLOOKUP($H60,구분표!$K$3:$M$151,2,FALSE))</x:f>
        <x:v/>
      </x:c>
      <x:c r="J60" s="156" t="str">
        <x:f>IF(I60="","",VLOOKUP($H60,구분표!$K$3:$M$151,3,FALSE))</x:f>
        <x:v/>
      </x:c>
      <x:c r="K60" s="233"/>
      <x:c r="L60" s="233"/>
      <x:c r="M60" s="459" t="str">
        <x:f t="shared" si="53"/>
        <x:v/>
      </x:c>
      <x:c r="N60" s="459" t="str">
        <x:f t="shared" si="54"/>
        <x:v/>
      </x:c>
      <x:c r="O60" s="461" t="str">
        <x:f t="shared" si="47"/>
        <x:v/>
      </x:c>
      <x:c r="P60" s="460"/>
      <x:c r="Q60" s="461">
        <x:f t="shared" si="48"/>
        <x:v>0</x:v>
      </x:c>
      <x:c r="R60" s="462"/>
      <x:c r="S60" s="463">
        <x:f t="shared" si="49"/>
        <x:v>0</x:v>
      </x:c>
      <x:c r="T60" s="162" t="str">
        <x:f t="shared" si="50"/>
        <x:v>X</x:v>
      </x:c>
      <x:c r="U60" s="552"/>
      <x:c r="V60" s="331"/>
      <x:c r="W60" s="221"/>
      <x:c r="X60" s="223"/>
      <x:c r="Y60" s="334"/>
      <x:c r="Z60" s="334"/>
      <x:c r="AA60" s="29"/>
      <x:c r="AB60" s="486">
        <x:f t="shared" si="5"/>
        <x:v>0</x:v>
      </x:c>
      <x:c r="AC60" s="487">
        <x:f t="shared" si="51"/>
        <x:v>0</x:v>
      </x:c>
      <x:c r="AD60" s="487">
        <x:f t="shared" si="6"/>
        <x:v>0</x:v>
      </x:c>
      <x:c r="AE60" s="487">
        <x:f t="shared" si="7"/>
        <x:v>0</x:v>
      </x:c>
      <x:c r="AF60" s="374" t="str">
        <x:f t="shared" si="8"/>
        <x:v/>
      </x:c>
      <x:c r="AG60" s="93"/>
      <x:c r="AH60" s="488">
        <x:f t="shared" si="9"/>
        <x:v>0</x:v>
      </x:c>
      <x:c r="AI60" s="487">
        <x:f t="shared" si="10"/>
        <x:v>0</x:v>
      </x:c>
      <x:c r="AJ60" s="487">
        <x:f t="shared" si="11"/>
        <x:v>0</x:v>
      </x:c>
      <x:c r="AK60" s="487">
        <x:f t="shared" si="12"/>
        <x:v>0</x:v>
      </x:c>
      <x:c r="AL60" s="374" t="str">
        <x:f t="shared" si="13"/>
        <x:v/>
      </x:c>
      <x:c r="AM60" s="92"/>
      <x:c r="AN60" s="221"/>
      <x:c r="AO60" s="374" t="str">
        <x:f>IF($AP60="","",IF($AN60="세입없음","OK",IF(OR($AP60="재원확인",$AN60=""),"@@",IF(COUNTIF('3. 일입'!$AK$8:$AK$2000,$AN60),"OK","@@"))))</x:f>
        <x:v/>
      </x:c>
      <x:c r="AP60" s="356" t="str">
        <x:f t="shared" si="14"/>
        <x:v/>
      </x:c>
      <x:c r="AQ60" s="374" t="str">
        <x:f>IF(AND($AN60="",$AP60=""),"",IF(AND($AN60&lt;&gt;"",$AP60&lt;&gt;""),IF(AN60="세입없음","OK",IF(VLOOKUP($AN60,'3. 일입'!$AK$7:$AL$2000,2,FALSE)=$AP60,"OK","@@")),"@@"))</x:f>
        <x:v/>
      </x:c>
      <x:c r="AR60" s="93"/>
      <x:c r="AS60" s="533"/>
      <x:c r="AT60" s="374" t="str">
        <x:f>IF($AS60="","",IF($AS60="세입없음","OK",IF(COUNTIF('3. 일입'!$AN$8:$AN$2000,$AS60),"OK","@@")))</x:f>
        <x:v/>
      </x:c>
      <x:c r="AU60" s="356" t="str">
        <x:f t="shared" si="15"/>
        <x:v/>
      </x:c>
      <x:c r="AV60" s="374" t="str">
        <x:f t="shared" si="16"/>
        <x:v/>
      </x:c>
      <x:c r="AW60" s="93"/>
      <x:c r="AX60" s="348"/>
      <x:c r="AY60" s="29"/>
    </x:row>
    <x:row r="61" spans="1:51" s="20" customFormat="1" ht="80.099999999999994" customHeight="1">
      <x:c r="A61" s="155" t="str">
        <x:f>IF(D61="","",COUNTA($C$7:C61)-COUNTBLANK($C$7:C61)+4)</x:f>
        <x:v/>
      </x:c>
      <x:c r="B61" s="156" t="str">
        <x: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x:f>
        <x:v/>
      </x:c>
      <x:c r="C61" s="156" t="str">
        <x:f>IF(D61="","",IF(OR(D61="교육지원과",D61="총무과",D61="인사과"),"직접입력",VLOOKUP(D61,구분표!$A$3:$C$258,3,)))</x:f>
        <x:v/>
      </x:c>
      <x:c r="D61" s="219"/>
      <x:c r="E61" s="213"/>
      <x:c r="F61" s="388" t="str">
        <x:f t="shared" si="52"/>
        <x:v/>
      </x:c>
      <x:c r="G61" s="388" t="str">
        <x:f t="shared" si="52"/>
        <x:v/>
      </x:c>
      <x:c r="H61" s="213"/>
      <x:c r="I61" s="156" t="str">
        <x:f>IF(H61="","",VLOOKUP($H61,구분표!$K$3:$M$151,2,FALSE))</x:f>
        <x:v/>
      </x:c>
      <x:c r="J61" s="156" t="str">
        <x:f>IF(I61="","",VLOOKUP($H61,구분표!$K$3:$M$151,3,FALSE))</x:f>
        <x:v/>
      </x:c>
      <x:c r="K61" s="233"/>
      <x:c r="L61" s="233"/>
      <x:c r="M61" s="459" t="str">
        <x:f t="shared" si="53"/>
        <x:v/>
      </x:c>
      <x:c r="N61" s="459" t="str">
        <x:f t="shared" si="54"/>
        <x:v/>
      </x:c>
      <x:c r="O61" s="461" t="str">
        <x:f t="shared" si="47"/>
        <x:v/>
      </x:c>
      <x:c r="P61" s="460"/>
      <x:c r="Q61" s="461">
        <x:f t="shared" si="48"/>
        <x:v>0</x:v>
      </x:c>
      <x:c r="R61" s="462"/>
      <x:c r="S61" s="463">
        <x:f t="shared" si="49"/>
        <x:v>0</x:v>
      </x:c>
      <x:c r="T61" s="162" t="str">
        <x:f t="shared" si="50"/>
        <x:v>X</x:v>
      </x:c>
      <x:c r="U61" s="552"/>
      <x:c r="V61" s="331"/>
      <x:c r="W61" s="221"/>
      <x:c r="X61" s="223"/>
      <x:c r="Y61" s="334"/>
      <x:c r="Z61" s="334"/>
      <x:c r="AA61" s="29"/>
      <x:c r="AB61" s="486">
        <x:f t="shared" si="5"/>
        <x:v>0</x:v>
      </x:c>
      <x:c r="AC61" s="487">
        <x:f t="shared" si="51"/>
        <x:v>0</x:v>
      </x:c>
      <x:c r="AD61" s="487">
        <x:f t="shared" si="6"/>
        <x:v>0</x:v>
      </x:c>
      <x:c r="AE61" s="487">
        <x:f t="shared" si="7"/>
        <x:v>0</x:v>
      </x:c>
      <x:c r="AF61" s="374" t="str">
        <x:f t="shared" si="8"/>
        <x:v/>
      </x:c>
      <x:c r="AG61" s="93"/>
      <x:c r="AH61" s="488">
        <x:f t="shared" si="9"/>
        <x:v>0</x:v>
      </x:c>
      <x:c r="AI61" s="487">
        <x:f t="shared" si="10"/>
        <x:v>0</x:v>
      </x:c>
      <x:c r="AJ61" s="487">
        <x:f t="shared" si="11"/>
        <x:v>0</x:v>
      </x:c>
      <x:c r="AK61" s="487">
        <x:f t="shared" si="12"/>
        <x:v>0</x:v>
      </x:c>
      <x:c r="AL61" s="374" t="str">
        <x:f t="shared" si="13"/>
        <x:v/>
      </x:c>
      <x:c r="AM61" s="92"/>
      <x:c r="AN61" s="221"/>
      <x:c r="AO61" s="374" t="str">
        <x:f>IF($AP61="","",IF($AN61="세입없음","OK",IF(OR($AP61="재원확인",$AN61=""),"@@",IF(COUNTIF('3. 일입'!$AK$8:$AK$2000,$AN61),"OK","@@"))))</x:f>
        <x:v/>
      </x:c>
      <x:c r="AP61" s="356" t="str">
        <x:f t="shared" si="14"/>
        <x:v/>
      </x:c>
      <x:c r="AQ61" s="374" t="str">
        <x:f>IF(AND($AN61="",$AP61=""),"",IF(AND($AN61&lt;&gt;"",$AP61&lt;&gt;""),IF(AN61="세입없음","OK",IF(VLOOKUP($AN61,'3. 일입'!$AK$7:$AL$2000,2,FALSE)=$AP61,"OK","@@")),"@@"))</x:f>
        <x:v/>
      </x:c>
      <x:c r="AR61" s="93"/>
      <x:c r="AS61" s="533"/>
      <x:c r="AT61" s="374" t="str">
        <x:f>IF($AS61="","",IF($AS61="세입없음","OK",IF(COUNTIF('3. 일입'!$AN$8:$AN$2000,$AS61),"OK","@@")))</x:f>
        <x:v/>
      </x:c>
      <x:c r="AU61" s="356" t="str">
        <x:f t="shared" si="15"/>
        <x:v/>
      </x:c>
      <x:c r="AV61" s="374" t="str">
        <x:f t="shared" si="16"/>
        <x:v/>
      </x:c>
      <x:c r="AW61" s="93"/>
      <x:c r="AX61" s="348"/>
      <x:c r="AY61" s="29"/>
    </x:row>
    <x:row r="62" spans="1:51" s="20" customFormat="1" ht="80.099999999999994" customHeight="1">
      <x:c r="A62" s="155" t="str">
        <x:f>IF(D62="","",COUNTA($C$7:C62)-COUNTBLANK($C$7:C62)+4)</x:f>
        <x:v/>
      </x:c>
      <x:c r="B62" s="156" t="str">
        <x: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x:f>
        <x:v/>
      </x:c>
      <x:c r="C62" s="156" t="str">
        <x:f>IF(D62="","",IF(OR(D62="교육지원과",D62="총무과",D62="인사과"),"직접입력",VLOOKUP(D62,구분표!$A$3:$C$258,3,)))</x:f>
        <x:v/>
      </x:c>
      <x:c r="D62" s="219"/>
      <x:c r="E62" s="213"/>
      <x:c r="F62" s="388" t="str">
        <x:f t="shared" si="52"/>
        <x:v/>
      </x:c>
      <x:c r="G62" s="388" t="str">
        <x:f t="shared" si="52"/>
        <x:v/>
      </x:c>
      <x:c r="H62" s="213"/>
      <x:c r="I62" s="156" t="str">
        <x:f>IF(H62="","",VLOOKUP($H62,구분표!$K$3:$M$151,2,FALSE))</x:f>
        <x:v/>
      </x:c>
      <x:c r="J62" s="156" t="str">
        <x:f>IF(I62="","",VLOOKUP($H62,구분표!$K$3:$M$151,3,FALSE))</x:f>
        <x:v/>
      </x:c>
      <x:c r="K62" s="233"/>
      <x:c r="L62" s="233"/>
      <x:c r="M62" s="459" t="str">
        <x:f t="shared" si="53"/>
        <x:v/>
      </x:c>
      <x:c r="N62" s="459" t="str">
        <x:f t="shared" si="54"/>
        <x:v/>
      </x:c>
      <x:c r="O62" s="461" t="str">
        <x:f t="shared" si="47"/>
        <x:v/>
      </x:c>
      <x:c r="P62" s="460"/>
      <x:c r="Q62" s="461">
        <x:f t="shared" si="48"/>
        <x:v>0</x:v>
      </x:c>
      <x:c r="R62" s="462"/>
      <x:c r="S62" s="463">
        <x:f t="shared" si="49"/>
        <x:v>0</x:v>
      </x:c>
      <x:c r="T62" s="162" t="str">
        <x:f t="shared" si="50"/>
        <x:v>X</x:v>
      </x:c>
      <x:c r="U62" s="552"/>
      <x:c r="V62" s="331"/>
      <x:c r="W62" s="221"/>
      <x:c r="X62" s="223"/>
      <x:c r="Y62" s="334"/>
      <x:c r="Z62" s="334"/>
      <x:c r="AA62" s="29"/>
      <x:c r="AB62" s="486">
        <x:f t="shared" si="5"/>
        <x:v>0</x:v>
      </x:c>
      <x:c r="AC62" s="487">
        <x:f t="shared" si="51"/>
        <x:v>0</x:v>
      </x:c>
      <x:c r="AD62" s="487">
        <x:f t="shared" si="6"/>
        <x:v>0</x:v>
      </x:c>
      <x:c r="AE62" s="487">
        <x:f t="shared" si="7"/>
        <x:v>0</x:v>
      </x:c>
      <x:c r="AF62" s="374" t="str">
        <x:f t="shared" si="8"/>
        <x:v/>
      </x:c>
      <x:c r="AG62" s="93"/>
      <x:c r="AH62" s="488">
        <x:f t="shared" si="9"/>
        <x:v>0</x:v>
      </x:c>
      <x:c r="AI62" s="487">
        <x:f t="shared" si="10"/>
        <x:v>0</x:v>
      </x:c>
      <x:c r="AJ62" s="487">
        <x:f t="shared" si="11"/>
        <x:v>0</x:v>
      </x:c>
      <x:c r="AK62" s="487">
        <x:f t="shared" si="12"/>
        <x:v>0</x:v>
      </x:c>
      <x:c r="AL62" s="374" t="str">
        <x:f t="shared" si="13"/>
        <x:v/>
      </x:c>
      <x:c r="AM62" s="92"/>
      <x:c r="AN62" s="221"/>
      <x:c r="AO62" s="374" t="str">
        <x:f>IF($AP62="","",IF($AN62="세입없음","OK",IF(OR($AP62="재원확인",$AN62=""),"@@",IF(COUNTIF('3. 일입'!$AK$8:$AK$2000,$AN62),"OK","@@"))))</x:f>
        <x:v/>
      </x:c>
      <x:c r="AP62" s="356" t="str">
        <x:f t="shared" si="14"/>
        <x:v/>
      </x:c>
      <x:c r="AQ62" s="374" t="str">
        <x:f>IF(AND($AN62="",$AP62=""),"",IF(AND($AN62&lt;&gt;"",$AP62&lt;&gt;""),IF(AN62="세입없음","OK",IF(VLOOKUP($AN62,'3. 일입'!$AK$7:$AL$2000,2,FALSE)=$AP62,"OK","@@")),"@@"))</x:f>
        <x:v/>
      </x:c>
      <x:c r="AR62" s="93"/>
      <x:c r="AS62" s="533"/>
      <x:c r="AT62" s="374" t="str">
        <x:f>IF($AS62="","",IF($AS62="세입없음","OK",IF(COUNTIF('3. 일입'!$AN$8:$AN$2000,$AS62),"OK","@@")))</x:f>
        <x:v/>
      </x:c>
      <x:c r="AU62" s="356" t="str">
        <x:f t="shared" si="15"/>
        <x:v/>
      </x:c>
      <x:c r="AV62" s="374" t="str">
        <x:f t="shared" si="16"/>
        <x:v/>
      </x:c>
      <x:c r="AW62" s="93"/>
      <x:c r="AX62" s="348"/>
      <x:c r="AY62" s="29"/>
    </x:row>
    <x:row r="63" spans="1:51" s="20" customFormat="1" ht="80.099999999999994" customHeight="1">
      <x:c r="A63" s="155" t="str">
        <x:f>IF(D63="","",COUNTA($C$7:C63)-COUNTBLANK($C$7:C63)+4)</x:f>
        <x:v/>
      </x:c>
      <x:c r="B63" s="156" t="str">
        <x: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x:f>
        <x:v/>
      </x:c>
      <x:c r="C63" s="156" t="str">
        <x:f>IF(D63="","",IF(OR(D63="교육지원과",D63="총무과",D63="인사과"),"직접입력",VLOOKUP(D63,구분표!$A$3:$C$258,3,)))</x:f>
        <x:v/>
      </x:c>
      <x:c r="D63" s="219"/>
      <x:c r="E63" s="213"/>
      <x:c r="F63" s="388" t="str">
        <x:f t="shared" si="52"/>
        <x:v/>
      </x:c>
      <x:c r="G63" s="388" t="str">
        <x:f t="shared" si="52"/>
        <x:v/>
      </x:c>
      <x:c r="H63" s="213"/>
      <x:c r="I63" s="156" t="str">
        <x:f>IF(H63="","",VLOOKUP($H63,구분표!$K$3:$M$151,2,FALSE))</x:f>
        <x:v/>
      </x:c>
      <x:c r="J63" s="156" t="str">
        <x:f>IF(I63="","",VLOOKUP($H63,구분표!$K$3:$M$151,3,FALSE))</x:f>
        <x:v/>
      </x:c>
      <x:c r="K63" s="233"/>
      <x:c r="L63" s="233"/>
      <x:c r="M63" s="459" t="str">
        <x:f t="shared" si="53"/>
        <x:v/>
      </x:c>
      <x:c r="N63" s="459" t="str">
        <x:f t="shared" si="54"/>
        <x:v/>
      </x:c>
      <x:c r="O63" s="461" t="str">
        <x:f t="shared" si="47"/>
        <x:v/>
      </x:c>
      <x:c r="P63" s="460"/>
      <x:c r="Q63" s="461">
        <x:f t="shared" si="48"/>
        <x:v>0</x:v>
      </x:c>
      <x:c r="R63" s="462"/>
      <x:c r="S63" s="463">
        <x:f t="shared" si="49"/>
        <x:v>0</x:v>
      </x:c>
      <x:c r="T63" s="162" t="str">
        <x:f t="shared" si="50"/>
        <x:v>X</x:v>
      </x:c>
      <x:c r="U63" s="552"/>
      <x:c r="V63" s="331"/>
      <x:c r="W63" s="221"/>
      <x:c r="X63" s="223"/>
      <x:c r="Y63" s="334"/>
      <x:c r="Z63" s="334"/>
      <x:c r="AA63" s="29"/>
      <x:c r="AB63" s="486">
        <x:f t="shared" si="5"/>
        <x:v>0</x:v>
      </x:c>
      <x:c r="AC63" s="487">
        <x:f t="shared" si="51"/>
        <x:v>0</x:v>
      </x:c>
      <x:c r="AD63" s="487">
        <x:f t="shared" si="6"/>
        <x:v>0</x:v>
      </x:c>
      <x:c r="AE63" s="487">
        <x:f t="shared" si="7"/>
        <x:v>0</x:v>
      </x:c>
      <x:c r="AF63" s="374" t="str">
        <x:f t="shared" si="8"/>
        <x:v/>
      </x:c>
      <x:c r="AG63" s="93"/>
      <x:c r="AH63" s="488">
        <x:f t="shared" si="9"/>
        <x:v>0</x:v>
      </x:c>
      <x:c r="AI63" s="487">
        <x:f t="shared" si="10"/>
        <x:v>0</x:v>
      </x:c>
      <x:c r="AJ63" s="487">
        <x:f t="shared" si="11"/>
        <x:v>0</x:v>
      </x:c>
      <x:c r="AK63" s="487">
        <x:f t="shared" si="12"/>
        <x:v>0</x:v>
      </x:c>
      <x:c r="AL63" s="374" t="str">
        <x:f t="shared" si="13"/>
        <x:v/>
      </x:c>
      <x:c r="AM63" s="92"/>
      <x:c r="AN63" s="221"/>
      <x:c r="AO63" s="374" t="str">
        <x:f>IF($AP63="","",IF($AN63="세입없음","OK",IF(OR($AP63="재원확인",$AN63=""),"@@",IF(COUNTIF('3. 일입'!$AK$8:$AK$2000,$AN63),"OK","@@"))))</x:f>
        <x:v/>
      </x:c>
      <x:c r="AP63" s="356" t="str">
        <x:f t="shared" si="14"/>
        <x:v/>
      </x:c>
      <x:c r="AQ63" s="374" t="str">
        <x:f>IF(AND($AN63="",$AP63=""),"",IF(AND($AN63&lt;&gt;"",$AP63&lt;&gt;""),IF(AN63="세입없음","OK",IF(VLOOKUP($AN63,'3. 일입'!$AK$7:$AL$2000,2,FALSE)=$AP63,"OK","@@")),"@@"))</x:f>
        <x:v/>
      </x:c>
      <x:c r="AR63" s="93"/>
      <x:c r="AS63" s="533"/>
      <x:c r="AT63" s="374" t="str">
        <x:f>IF($AS63="","",IF($AS63="세입없음","OK",IF(COUNTIF('3. 일입'!$AN$8:$AN$2000,$AS63),"OK","@@")))</x:f>
        <x:v/>
      </x:c>
      <x:c r="AU63" s="356" t="str">
        <x:f t="shared" si="15"/>
        <x:v/>
      </x:c>
      <x:c r="AV63" s="374" t="str">
        <x:f t="shared" si="16"/>
        <x:v/>
      </x:c>
      <x:c r="AW63" s="93"/>
      <x:c r="AX63" s="348"/>
      <x:c r="AY63" s="29"/>
    </x:row>
    <x:row r="64" spans="1:51" s="20" customFormat="1" ht="80.099999999999994" customHeight="1">
      <x:c r="A64" s="155" t="str">
        <x:f>IF(D64="","",COUNTA($C$7:C64)-COUNTBLANK($C$7:C64)+4)</x:f>
        <x:v/>
      </x:c>
      <x:c r="B64" s="156" t="str">
        <x: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x:f>
        <x:v/>
      </x:c>
      <x:c r="C64" s="156" t="str">
        <x:f>IF(D64="","",IF(OR(D64="교육지원과",D64="총무과",D64="인사과"),"직접입력",VLOOKUP(D64,구분표!$A$3:$C$258,3,)))</x:f>
        <x:v/>
      </x:c>
      <x:c r="D64" s="219"/>
      <x:c r="E64" s="213"/>
      <x:c r="F64" s="388" t="str">
        <x:f t="shared" si="52"/>
        <x:v/>
      </x:c>
      <x:c r="G64" s="388" t="str">
        <x:f t="shared" si="52"/>
        <x:v/>
      </x:c>
      <x:c r="H64" s="213"/>
      <x:c r="I64" s="156" t="str">
        <x:f>IF(H64="","",VLOOKUP($H64,구분표!$K$3:$M$151,2,FALSE))</x:f>
        <x:v/>
      </x:c>
      <x:c r="J64" s="156" t="str">
        <x:f>IF(I64="","",VLOOKUP($H64,구분표!$K$3:$M$151,3,FALSE))</x:f>
        <x:v/>
      </x:c>
      <x:c r="K64" s="233"/>
      <x:c r="L64" s="233"/>
      <x:c r="M64" s="459" t="str">
        <x:f t="shared" si="53"/>
        <x:v/>
      </x:c>
      <x:c r="N64" s="459" t="str">
        <x:f t="shared" si="54"/>
        <x:v/>
      </x:c>
      <x:c r="O64" s="461" t="str">
        <x:f t="shared" si="47"/>
        <x:v/>
      </x:c>
      <x:c r="P64" s="460"/>
      <x:c r="Q64" s="461">
        <x:f t="shared" si="48"/>
        <x:v>0</x:v>
      </x:c>
      <x:c r="R64" s="462"/>
      <x:c r="S64" s="463">
        <x:f t="shared" si="49"/>
        <x:v>0</x:v>
      </x:c>
      <x:c r="T64" s="162" t="str">
        <x:f t="shared" si="50"/>
        <x:v>X</x:v>
      </x:c>
      <x:c r="U64" s="552"/>
      <x:c r="V64" s="331"/>
      <x:c r="W64" s="221"/>
      <x:c r="X64" s="223"/>
      <x:c r="Y64" s="334"/>
      <x:c r="Z64" s="334"/>
      <x:c r="AA64" s="29"/>
      <x:c r="AB64" s="486">
        <x:f t="shared" si="5"/>
        <x:v>0</x:v>
      </x:c>
      <x:c r="AC64" s="487">
        <x:f t="shared" si="51"/>
        <x:v>0</x:v>
      </x:c>
      <x:c r="AD64" s="487">
        <x:f t="shared" si="6"/>
        <x:v>0</x:v>
      </x:c>
      <x:c r="AE64" s="487">
        <x:f t="shared" si="7"/>
        <x:v>0</x:v>
      </x:c>
      <x:c r="AF64" s="374" t="str">
        <x:f t="shared" si="8"/>
        <x:v/>
      </x:c>
      <x:c r="AG64" s="93"/>
      <x:c r="AH64" s="488">
        <x:f t="shared" si="9"/>
        <x:v>0</x:v>
      </x:c>
      <x:c r="AI64" s="487">
        <x:f t="shared" si="10"/>
        <x:v>0</x:v>
      </x:c>
      <x:c r="AJ64" s="487">
        <x:f t="shared" si="11"/>
        <x:v>0</x:v>
      </x:c>
      <x:c r="AK64" s="487">
        <x:f t="shared" si="12"/>
        <x:v>0</x:v>
      </x:c>
      <x:c r="AL64" s="374" t="str">
        <x:f t="shared" si="13"/>
        <x:v/>
      </x:c>
      <x:c r="AM64" s="92"/>
      <x:c r="AN64" s="221"/>
      <x:c r="AO64" s="374" t="str">
        <x:f>IF($AP64="","",IF($AN64="세입없음","OK",IF(OR($AP64="재원확인",$AN64=""),"@@",IF(COUNTIF('3. 일입'!$AK$8:$AK$2000,$AN64),"OK","@@"))))</x:f>
        <x:v/>
      </x:c>
      <x:c r="AP64" s="356" t="str">
        <x:f t="shared" si="14"/>
        <x:v/>
      </x:c>
      <x:c r="AQ64" s="374" t="str">
        <x:f>IF(AND($AN64="",$AP64=""),"",IF(AND($AN64&lt;&gt;"",$AP64&lt;&gt;""),IF(AN64="세입없음","OK",IF(VLOOKUP($AN64,'3. 일입'!$AK$7:$AL$2000,2,FALSE)=$AP64,"OK","@@")),"@@"))</x:f>
        <x:v/>
      </x:c>
      <x:c r="AR64" s="93"/>
      <x:c r="AS64" s="533"/>
      <x:c r="AT64" s="374" t="str">
        <x:f>IF($AS64="","",IF($AS64="세입없음","OK",IF(COUNTIF('3. 일입'!$AN$8:$AN$2000,$AS64),"OK","@@")))</x:f>
        <x:v/>
      </x:c>
      <x:c r="AU64" s="356" t="str">
        <x:f t="shared" si="15"/>
        <x:v/>
      </x:c>
      <x:c r="AV64" s="374" t="str">
        <x:f t="shared" si="16"/>
        <x:v/>
      </x:c>
      <x:c r="AW64" s="93"/>
      <x:c r="AX64" s="348"/>
      <x:c r="AY64" s="29"/>
    </x:row>
    <x:row r="65" spans="1:51" s="20" customFormat="1" ht="80.099999999999994" customHeight="1">
      <x:c r="A65" s="155" t="str">
        <x:f>IF(D65="","",COUNTA($C$7:C65)-COUNTBLANK($C$7:C65)+4)</x:f>
        <x:v/>
      </x:c>
      <x:c r="B65" s="156" t="str">
        <x: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x:f>
        <x:v/>
      </x:c>
      <x:c r="C65" s="156" t="str">
        <x:f>IF(D65="","",IF(OR(D65="교육지원과",D65="총무과",D65="인사과"),"직접입력",VLOOKUP(D65,구분표!$A$3:$C$258,3,)))</x:f>
        <x:v/>
      </x:c>
      <x:c r="D65" s="219"/>
      <x:c r="E65" s="213"/>
      <x:c r="F65" s="388" t="str">
        <x:f t="shared" si="52"/>
        <x:v/>
      </x:c>
      <x:c r="G65" s="388" t="str">
        <x:f t="shared" si="52"/>
        <x:v/>
      </x:c>
      <x:c r="H65" s="213"/>
      <x:c r="I65" s="156" t="str">
        <x:f>IF(H65="","",VLOOKUP($H65,구분표!$K$3:$M$151,2,FALSE))</x:f>
        <x:v/>
      </x:c>
      <x:c r="J65" s="156" t="str">
        <x:f>IF(I65="","",VLOOKUP($H65,구분표!$K$3:$M$151,3,FALSE))</x:f>
        <x:v/>
      </x:c>
      <x:c r="K65" s="233"/>
      <x:c r="L65" s="233"/>
      <x:c r="M65" s="459" t="str">
        <x:f t="shared" si="53"/>
        <x:v/>
      </x:c>
      <x:c r="N65" s="459" t="str">
        <x:f t="shared" si="54"/>
        <x:v/>
      </x:c>
      <x:c r="O65" s="461" t="str">
        <x:f t="shared" si="47"/>
        <x:v/>
      </x:c>
      <x:c r="P65" s="460"/>
      <x:c r="Q65" s="461">
        <x:f t="shared" si="48"/>
        <x:v>0</x:v>
      </x:c>
      <x:c r="R65" s="462"/>
      <x:c r="S65" s="463">
        <x:f t="shared" si="49"/>
        <x:v>0</x:v>
      </x:c>
      <x:c r="T65" s="162" t="str">
        <x:f t="shared" si="50"/>
        <x:v>X</x:v>
      </x:c>
      <x:c r="U65" s="552"/>
      <x:c r="V65" s="331"/>
      <x:c r="W65" s="221"/>
      <x:c r="X65" s="223"/>
      <x:c r="Y65" s="334"/>
      <x:c r="Z65" s="334"/>
      <x:c r="AA65" s="29"/>
      <x:c r="AB65" s="486">
        <x:f t="shared" si="5"/>
        <x:v>0</x:v>
      </x:c>
      <x:c r="AC65" s="487">
        <x:f t="shared" si="51"/>
        <x:v>0</x:v>
      </x:c>
      <x:c r="AD65" s="487">
        <x:f t="shared" si="6"/>
        <x:v>0</x:v>
      </x:c>
      <x:c r="AE65" s="487">
        <x:f t="shared" si="7"/>
        <x:v>0</x:v>
      </x:c>
      <x:c r="AF65" s="374" t="str">
        <x:f t="shared" si="8"/>
        <x:v/>
      </x:c>
      <x:c r="AG65" s="93"/>
      <x:c r="AH65" s="488">
        <x:f t="shared" si="9"/>
        <x:v>0</x:v>
      </x:c>
      <x:c r="AI65" s="487">
        <x:f t="shared" si="10"/>
        <x:v>0</x:v>
      </x:c>
      <x:c r="AJ65" s="487">
        <x:f t="shared" si="11"/>
        <x:v>0</x:v>
      </x:c>
      <x:c r="AK65" s="487">
        <x:f t="shared" si="12"/>
        <x:v>0</x:v>
      </x:c>
      <x:c r="AL65" s="374" t="str">
        <x:f t="shared" si="13"/>
        <x:v/>
      </x:c>
      <x:c r="AM65" s="92"/>
      <x:c r="AN65" s="221"/>
      <x:c r="AO65" s="374" t="str">
        <x:f>IF($AP65="","",IF($AN65="세입없음","OK",IF(OR($AP65="재원확인",$AN65=""),"@@",IF(COUNTIF('3. 일입'!$AK$8:$AK$2000,$AN65),"OK","@@"))))</x:f>
        <x:v/>
      </x:c>
      <x:c r="AP65" s="356" t="str">
        <x:f t="shared" si="14"/>
        <x:v/>
      </x:c>
      <x:c r="AQ65" s="374" t="str">
        <x:f>IF(AND($AN65="",$AP65=""),"",IF(AND($AN65&lt;&gt;"",$AP65&lt;&gt;""),IF(AN65="세입없음","OK",IF(VLOOKUP($AN65,'3. 일입'!$AK$7:$AL$2000,2,FALSE)=$AP65,"OK","@@")),"@@"))</x:f>
        <x:v/>
      </x:c>
      <x:c r="AR65" s="93"/>
      <x:c r="AS65" s="533"/>
      <x:c r="AT65" s="374" t="str">
        <x:f>IF($AS65="","",IF($AS65="세입없음","OK",IF(COUNTIF('3. 일입'!$AN$8:$AN$2000,$AS65),"OK","@@")))</x:f>
        <x:v/>
      </x:c>
      <x:c r="AU65" s="356" t="str">
        <x:f t="shared" si="15"/>
        <x:v/>
      </x:c>
      <x:c r="AV65" s="374" t="str">
        <x:f t="shared" si="16"/>
        <x:v/>
      </x:c>
      <x:c r="AW65" s="93"/>
      <x:c r="AX65" s="348"/>
      <x:c r="AY65" s="29"/>
    </x:row>
    <x:row r="66" spans="1:51" s="20" customFormat="1" ht="80.099999999999994" customHeight="1">
      <x:c r="A66" s="155" t="str">
        <x:f>IF(D66="","",COUNTA($C$7:C66)-COUNTBLANK($C$7:C66)+4)</x:f>
        <x:v/>
      </x:c>
      <x:c r="B66" s="156" t="str">
        <x: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x:f>
        <x:v/>
      </x:c>
      <x:c r="C66" s="156" t="str">
        <x:f>IF(D66="","",IF(OR(D66="교육지원과",D66="총무과",D66="인사과"),"직접입력",VLOOKUP(D66,구분표!$A$3:$C$258,3,)))</x:f>
        <x:v/>
      </x:c>
      <x:c r="D66" s="219"/>
      <x:c r="E66" s="213"/>
      <x:c r="F66" s="388" t="str">
        <x:f t="shared" si="52"/>
        <x:v/>
      </x:c>
      <x:c r="G66" s="388" t="str">
        <x:f t="shared" si="52"/>
        <x:v/>
      </x:c>
      <x:c r="H66" s="213"/>
      <x:c r="I66" s="156" t="str">
        <x:f>IF(H66="","",VLOOKUP($H66,구분표!$K$3:$M$151,2,FALSE))</x:f>
        <x:v/>
      </x:c>
      <x:c r="J66" s="156" t="str">
        <x:f>IF(I66="","",VLOOKUP($H66,구분표!$K$3:$M$151,3,FALSE))</x:f>
        <x:v/>
      </x:c>
      <x:c r="K66" s="233"/>
      <x:c r="L66" s="233"/>
      <x:c r="M66" s="459" t="str">
        <x:f t="shared" si="53"/>
        <x:v/>
      </x:c>
      <x:c r="N66" s="459" t="str">
        <x:f t="shared" si="54"/>
        <x:v/>
      </x:c>
      <x:c r="O66" s="461" t="str">
        <x:f t="shared" si="47"/>
        <x:v/>
      </x:c>
      <x:c r="P66" s="460"/>
      <x:c r="Q66" s="461">
        <x:f t="shared" si="48"/>
        <x:v>0</x:v>
      </x:c>
      <x:c r="R66" s="462"/>
      <x:c r="S66" s="463">
        <x:f t="shared" si="49"/>
        <x:v>0</x:v>
      </x:c>
      <x:c r="T66" s="162" t="str">
        <x:f t="shared" si="50"/>
        <x:v>X</x:v>
      </x:c>
      <x:c r="U66" s="552"/>
      <x:c r="V66" s="331"/>
      <x:c r="W66" s="221"/>
      <x:c r="X66" s="223"/>
      <x:c r="Y66" s="334"/>
      <x:c r="Z66" s="334"/>
      <x:c r="AA66" s="29"/>
      <x:c r="AB66" s="486">
        <x:f t="shared" si="5"/>
        <x:v>0</x:v>
      </x:c>
      <x:c r="AC66" s="487">
        <x:f t="shared" si="51"/>
        <x:v>0</x:v>
      </x:c>
      <x:c r="AD66" s="487">
        <x:f t="shared" si="6"/>
        <x:v>0</x:v>
      </x:c>
      <x:c r="AE66" s="487">
        <x:f t="shared" si="7"/>
        <x:v>0</x:v>
      </x:c>
      <x:c r="AF66" s="374" t="str">
        <x:f t="shared" si="8"/>
        <x:v/>
      </x:c>
      <x:c r="AG66" s="93"/>
      <x:c r="AH66" s="488">
        <x:f t="shared" si="9"/>
        <x:v>0</x:v>
      </x:c>
      <x:c r="AI66" s="487">
        <x:f t="shared" si="10"/>
        <x:v>0</x:v>
      </x:c>
      <x:c r="AJ66" s="487">
        <x:f t="shared" si="11"/>
        <x:v>0</x:v>
      </x:c>
      <x:c r="AK66" s="487">
        <x:f t="shared" si="12"/>
        <x:v>0</x:v>
      </x:c>
      <x:c r="AL66" s="374" t="str">
        <x:f t="shared" si="13"/>
        <x:v/>
      </x:c>
      <x:c r="AM66" s="92"/>
      <x:c r="AN66" s="221"/>
      <x:c r="AO66" s="374" t="str">
        <x:f>IF($AP66="","",IF($AN66="세입없음","OK",IF(OR($AP66="재원확인",$AN66=""),"@@",IF(COUNTIF('3. 일입'!$AK$8:$AK$2000,$AN66),"OK","@@"))))</x:f>
        <x:v/>
      </x:c>
      <x:c r="AP66" s="356" t="str">
        <x:f t="shared" si="14"/>
        <x:v/>
      </x:c>
      <x:c r="AQ66" s="374" t="str">
        <x:f>IF(AND($AN66="",$AP66=""),"",IF(AND($AN66&lt;&gt;"",$AP66&lt;&gt;""),IF(AN66="세입없음","OK",IF(VLOOKUP($AN66,'3. 일입'!$AK$7:$AL$2000,2,FALSE)=$AP66,"OK","@@")),"@@"))</x:f>
        <x:v/>
      </x:c>
      <x:c r="AR66" s="93"/>
      <x:c r="AS66" s="533"/>
      <x:c r="AT66" s="374" t="str">
        <x:f>IF($AS66="","",IF($AS66="세입없음","OK",IF(COUNTIF('3. 일입'!$AN$8:$AN$2000,$AS66),"OK","@@")))</x:f>
        <x:v/>
      </x:c>
      <x:c r="AU66" s="356" t="str">
        <x:f t="shared" si="15"/>
        <x:v/>
      </x:c>
      <x:c r="AV66" s="374" t="str">
        <x:f t="shared" si="16"/>
        <x:v/>
      </x:c>
      <x:c r="AW66" s="93"/>
      <x:c r="AX66" s="348"/>
      <x:c r="AY66" s="29"/>
    </x:row>
    <x:row r="67" spans="1:51" s="20" customFormat="1" ht="80.099999999999994" customHeight="1">
      <x:c r="A67" s="155" t="str">
        <x:f>IF(D67="","",COUNTA($C$7:C67)-COUNTBLANK($C$7:C67)+4)</x:f>
        <x:v/>
      </x:c>
      <x:c r="B67" s="156" t="str">
        <x: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x:f>
        <x:v/>
      </x:c>
      <x:c r="C67" s="156" t="str">
        <x:f>IF(D67="","",IF(OR(D67="교육지원과",D67="총무과",D67="인사과"),"직접입력",VLOOKUP(D67,구분표!$A$3:$C$258,3,)))</x:f>
        <x:v/>
      </x:c>
      <x:c r="D67" s="219"/>
      <x:c r="E67" s="213"/>
      <x:c r="F67" s="388" t="str">
        <x:f t="shared" si="52"/>
        <x:v/>
      </x:c>
      <x:c r="G67" s="388" t="str">
        <x:f t="shared" si="52"/>
        <x:v/>
      </x:c>
      <x:c r="H67" s="213"/>
      <x:c r="I67" s="156" t="str">
        <x:f>IF(H67="","",VLOOKUP($H67,구분표!$K$3:$M$151,2,FALSE))</x:f>
        <x:v/>
      </x:c>
      <x:c r="J67" s="156" t="str">
        <x:f>IF(I67="","",VLOOKUP($H67,구분표!$K$3:$M$151,3,FALSE))</x:f>
        <x:v/>
      </x:c>
      <x:c r="K67" s="233"/>
      <x:c r="L67" s="233"/>
      <x:c r="M67" s="459" t="str">
        <x:f t="shared" si="53"/>
        <x:v/>
      </x:c>
      <x:c r="N67" s="459" t="str">
        <x:f t="shared" si="54"/>
        <x:v/>
      </x:c>
      <x:c r="O67" s="461" t="str">
        <x:f t="shared" si="47"/>
        <x:v/>
      </x:c>
      <x:c r="P67" s="460"/>
      <x:c r="Q67" s="461">
        <x:f t="shared" si="48"/>
        <x:v>0</x:v>
      </x:c>
      <x:c r="R67" s="462"/>
      <x:c r="S67" s="463">
        <x:f t="shared" si="49"/>
        <x:v>0</x:v>
      </x:c>
      <x:c r="T67" s="162" t="str">
        <x:f t="shared" si="50"/>
        <x:v>X</x:v>
      </x:c>
      <x:c r="U67" s="552"/>
      <x:c r="V67" s="331"/>
      <x:c r="W67" s="221"/>
      <x:c r="X67" s="223"/>
      <x:c r="Y67" s="334"/>
      <x:c r="Z67" s="334"/>
      <x:c r="AA67" s="29"/>
      <x:c r="AB67" s="486">
        <x:f t="shared" si="5"/>
        <x:v>0</x:v>
      </x:c>
      <x:c r="AC67" s="487">
        <x:f t="shared" si="51"/>
        <x:v>0</x:v>
      </x:c>
      <x:c r="AD67" s="487">
        <x:f t="shared" si="6"/>
        <x:v>0</x:v>
      </x:c>
      <x:c r="AE67" s="487">
        <x:f t="shared" si="7"/>
        <x:v>0</x:v>
      </x:c>
      <x:c r="AF67" s="374" t="str">
        <x:f t="shared" si="8"/>
        <x:v/>
      </x:c>
      <x:c r="AG67" s="93"/>
      <x:c r="AH67" s="488">
        <x:f t="shared" si="9"/>
        <x:v>0</x:v>
      </x:c>
      <x:c r="AI67" s="487">
        <x:f t="shared" si="10"/>
        <x:v>0</x:v>
      </x:c>
      <x:c r="AJ67" s="487">
        <x:f t="shared" si="11"/>
        <x:v>0</x:v>
      </x:c>
      <x:c r="AK67" s="487">
        <x:f t="shared" si="12"/>
        <x:v>0</x:v>
      </x:c>
      <x:c r="AL67" s="374" t="str">
        <x:f t="shared" si="13"/>
        <x:v/>
      </x:c>
      <x:c r="AM67" s="92"/>
      <x:c r="AN67" s="221"/>
      <x:c r="AO67" s="374" t="str">
        <x:f>IF($AP67="","",IF($AN67="세입없음","OK",IF(OR($AP67="재원확인",$AN67=""),"@@",IF(COUNTIF('3. 일입'!$AK$8:$AK$2000,$AN67),"OK","@@"))))</x:f>
        <x:v/>
      </x:c>
      <x:c r="AP67" s="356" t="str">
        <x:f t="shared" si="14"/>
        <x:v/>
      </x:c>
      <x:c r="AQ67" s="374" t="str">
        <x:f>IF(AND($AN67="",$AP67=""),"",IF(AND($AN67&lt;&gt;"",$AP67&lt;&gt;""),IF(AN67="세입없음","OK",IF(VLOOKUP($AN67,'3. 일입'!$AK$7:$AL$2000,2,FALSE)=$AP67,"OK","@@")),"@@"))</x:f>
        <x:v/>
      </x:c>
      <x:c r="AR67" s="93"/>
      <x:c r="AS67" s="533"/>
      <x:c r="AT67" s="374" t="str">
        <x:f>IF($AS67="","",IF($AS67="세입없음","OK",IF(COUNTIF('3. 일입'!$AN$8:$AN$2000,$AS67),"OK","@@")))</x:f>
        <x:v/>
      </x:c>
      <x:c r="AU67" s="356" t="str">
        <x:f t="shared" si="15"/>
        <x:v/>
      </x:c>
      <x:c r="AV67" s="374" t="str">
        <x:f t="shared" si="16"/>
        <x:v/>
      </x:c>
      <x:c r="AW67" s="93"/>
      <x:c r="AX67" s="348"/>
      <x:c r="AY67" s="29"/>
    </x:row>
    <x:row r="68" spans="1:51" s="20" customFormat="1" ht="80.099999999999994" customHeight="1">
      <x:c r="A68" s="155" t="str">
        <x:f>IF(D68="","",COUNTA($C$7:C68)-COUNTBLANK($C$7:C68)+4)</x:f>
        <x:v/>
      </x:c>
      <x:c r="B68" s="156" t="str">
        <x: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x:f>
        <x:v/>
      </x:c>
      <x:c r="C68" s="156" t="str">
        <x:f>IF(D68="","",IF(OR(D68="교육지원과",D68="총무과",D68="인사과"),"직접입력",VLOOKUP(D68,구분표!$A$3:$C$258,3,)))</x:f>
        <x:v/>
      </x:c>
      <x:c r="D68" s="219"/>
      <x:c r="E68" s="213"/>
      <x:c r="F68" s="388" t="str">
        <x:f t="shared" si="52"/>
        <x:v/>
      </x:c>
      <x:c r="G68" s="388" t="str">
        <x:f t="shared" si="52"/>
        <x:v/>
      </x:c>
      <x:c r="H68" s="213"/>
      <x:c r="I68" s="156" t="str">
        <x:f>IF(H68="","",VLOOKUP($H68,구분표!$K$3:$M$151,2,FALSE))</x:f>
        <x:v/>
      </x:c>
      <x:c r="J68" s="156" t="str">
        <x:f>IF(I68="","",VLOOKUP($H68,구분표!$K$3:$M$151,3,FALSE))</x:f>
        <x:v/>
      </x:c>
      <x:c r="K68" s="233"/>
      <x:c r="L68" s="233"/>
      <x:c r="M68" s="459" t="str">
        <x:f t="shared" si="53"/>
        <x:v/>
      </x:c>
      <x:c r="N68" s="459" t="str">
        <x:f t="shared" si="54"/>
        <x:v/>
      </x:c>
      <x:c r="O68" s="461" t="str">
        <x:f t="shared" si="47"/>
        <x:v/>
      </x:c>
      <x:c r="P68" s="460"/>
      <x:c r="Q68" s="461">
        <x:f t="shared" si="48"/>
        <x:v>0</x:v>
      </x:c>
      <x:c r="R68" s="462"/>
      <x:c r="S68" s="463">
        <x:f t="shared" si="49"/>
        <x:v>0</x:v>
      </x:c>
      <x:c r="T68" s="162" t="str">
        <x:f t="shared" si="50"/>
        <x:v>X</x:v>
      </x:c>
      <x:c r="U68" s="552"/>
      <x:c r="V68" s="331"/>
      <x:c r="W68" s="221"/>
      <x:c r="X68" s="223"/>
      <x:c r="Y68" s="334"/>
      <x:c r="Z68" s="334"/>
      <x:c r="AA68" s="29"/>
      <x:c r="AB68" s="486">
        <x:f t="shared" si="5"/>
        <x:v>0</x:v>
      </x:c>
      <x:c r="AC68" s="487">
        <x:f t="shared" si="51"/>
        <x:v>0</x:v>
      </x:c>
      <x:c r="AD68" s="487">
        <x:f t="shared" si="6"/>
        <x:v>0</x:v>
      </x:c>
      <x:c r="AE68" s="487">
        <x:f t="shared" si="7"/>
        <x:v>0</x:v>
      </x:c>
      <x:c r="AF68" s="374" t="str">
        <x:f t="shared" si="8"/>
        <x:v/>
      </x:c>
      <x:c r="AG68" s="93"/>
      <x:c r="AH68" s="488">
        <x:f t="shared" si="9"/>
        <x:v>0</x:v>
      </x:c>
      <x:c r="AI68" s="487">
        <x:f t="shared" si="10"/>
        <x:v>0</x:v>
      </x:c>
      <x:c r="AJ68" s="487">
        <x:f t="shared" si="11"/>
        <x:v>0</x:v>
      </x:c>
      <x:c r="AK68" s="487">
        <x:f t="shared" si="12"/>
        <x:v>0</x:v>
      </x:c>
      <x:c r="AL68" s="374" t="str">
        <x:f t="shared" si="13"/>
        <x:v/>
      </x:c>
      <x:c r="AM68" s="92"/>
      <x:c r="AN68" s="221"/>
      <x:c r="AO68" s="374" t="str">
        <x:f>IF($AP68="","",IF($AN68="세입없음","OK",IF(OR($AP68="재원확인",$AN68=""),"@@",IF(COUNTIF('3. 일입'!$AK$8:$AK$2000,$AN68),"OK","@@"))))</x:f>
        <x:v/>
      </x:c>
      <x:c r="AP68" s="356" t="str">
        <x:f t="shared" si="14"/>
        <x:v/>
      </x:c>
      <x:c r="AQ68" s="374" t="str">
        <x:f>IF(AND($AN68="",$AP68=""),"",IF(AND($AN68&lt;&gt;"",$AP68&lt;&gt;""),IF(AN68="세입없음","OK",IF(VLOOKUP($AN68,'3. 일입'!$AK$7:$AL$2000,2,FALSE)=$AP68,"OK","@@")),"@@"))</x:f>
        <x:v/>
      </x:c>
      <x:c r="AR68" s="93"/>
      <x:c r="AS68" s="533"/>
      <x:c r="AT68" s="374" t="str">
        <x:f>IF($AS68="","",IF($AS68="세입없음","OK",IF(COUNTIF('3. 일입'!$AN$8:$AN$2000,$AS68),"OK","@@")))</x:f>
        <x:v/>
      </x:c>
      <x:c r="AU68" s="356" t="str">
        <x:f t="shared" si="15"/>
        <x:v/>
      </x:c>
      <x:c r="AV68" s="374" t="str">
        <x:f t="shared" si="16"/>
        <x:v/>
      </x:c>
      <x:c r="AW68" s="93"/>
      <x:c r="AX68" s="348"/>
      <x:c r="AY68" s="29"/>
    </x:row>
    <x:row r="69" spans="1:51" s="20" customFormat="1" ht="80.099999999999994" customHeight="1">
      <x:c r="A69" s="155" t="str">
        <x:f>IF(D69="","",COUNTA($C$7:C69)-COUNTBLANK($C$7:C69)+4)</x:f>
        <x:v/>
      </x:c>
      <x:c r="B69" s="156" t="str">
        <x: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x:f>
        <x:v/>
      </x:c>
      <x:c r="C69" s="156" t="str">
        <x:f>IF(D69="","",IF(OR(D69="교육지원과",D69="총무과",D69="인사과"),"직접입력",VLOOKUP(D69,구분표!$A$3:$C$258,3,)))</x:f>
        <x:v/>
      </x:c>
      <x:c r="D69" s="219"/>
      <x:c r="E69" s="213"/>
      <x:c r="F69" s="388" t="str">
        <x:f t="shared" si="52"/>
        <x:v/>
      </x:c>
      <x:c r="G69" s="388" t="str">
        <x:f t="shared" si="52"/>
        <x:v/>
      </x:c>
      <x:c r="H69" s="213"/>
      <x:c r="I69" s="156" t="str">
        <x:f>IF(H69="","",VLOOKUP($H69,구분표!$K$3:$M$151,2,FALSE))</x:f>
        <x:v/>
      </x:c>
      <x:c r="J69" s="156" t="str">
        <x:f>IF(I69="","",VLOOKUP($H69,구분표!$K$3:$M$151,3,FALSE))</x:f>
        <x:v/>
      </x:c>
      <x:c r="K69" s="233"/>
      <x:c r="L69" s="233"/>
      <x:c r="M69" s="459" t="str">
        <x:f t="shared" si="53"/>
        <x:v/>
      </x:c>
      <x:c r="N69" s="459" t="str">
        <x:f t="shared" si="54"/>
        <x:v/>
      </x:c>
      <x:c r="O69" s="461" t="str">
        <x:f t="shared" si="47"/>
        <x:v/>
      </x:c>
      <x:c r="P69" s="460"/>
      <x:c r="Q69" s="461">
        <x:f t="shared" si="48"/>
        <x:v>0</x:v>
      </x:c>
      <x:c r="R69" s="462"/>
      <x:c r="S69" s="463">
        <x:f t="shared" si="49"/>
        <x:v>0</x:v>
      </x:c>
      <x:c r="T69" s="162" t="str">
        <x:f t="shared" si="50"/>
        <x:v>X</x:v>
      </x:c>
      <x:c r="U69" s="552"/>
      <x:c r="V69" s="331"/>
      <x:c r="W69" s="221"/>
      <x:c r="X69" s="223"/>
      <x:c r="Y69" s="334"/>
      <x:c r="Z69" s="334"/>
      <x:c r="AA69" s="29"/>
      <x:c r="AB69" s="486">
        <x:f t="shared" si="5"/>
        <x:v>0</x:v>
      </x:c>
      <x:c r="AC69" s="487">
        <x:f t="shared" si="51"/>
        <x:v>0</x:v>
      </x:c>
      <x:c r="AD69" s="487">
        <x:f t="shared" si="6"/>
        <x:v>0</x:v>
      </x:c>
      <x:c r="AE69" s="487">
        <x:f t="shared" si="7"/>
        <x:v>0</x:v>
      </x:c>
      <x:c r="AF69" s="374" t="str">
        <x:f t="shared" si="8"/>
        <x:v/>
      </x:c>
      <x:c r="AG69" s="93"/>
      <x:c r="AH69" s="488">
        <x:f t="shared" si="9"/>
        <x:v>0</x:v>
      </x:c>
      <x:c r="AI69" s="487">
        <x:f t="shared" si="10"/>
        <x:v>0</x:v>
      </x:c>
      <x:c r="AJ69" s="487">
        <x:f t="shared" si="11"/>
        <x:v>0</x:v>
      </x:c>
      <x:c r="AK69" s="487">
        <x:f t="shared" si="12"/>
        <x:v>0</x:v>
      </x:c>
      <x:c r="AL69" s="374" t="str">
        <x:f t="shared" si="13"/>
        <x:v/>
      </x:c>
      <x:c r="AM69" s="92"/>
      <x:c r="AN69" s="221"/>
      <x:c r="AO69" s="374" t="str">
        <x:f>IF($AP69="","",IF($AN69="세입없음","OK",IF(OR($AP69="재원확인",$AN69=""),"@@",IF(COUNTIF('3. 일입'!$AK$8:$AK$2000,$AN69),"OK","@@"))))</x:f>
        <x:v/>
      </x:c>
      <x:c r="AP69" s="356" t="str">
        <x:f t="shared" si="14"/>
        <x:v/>
      </x:c>
      <x:c r="AQ69" s="374" t="str">
        <x:f>IF(AND($AN69="",$AP69=""),"",IF(AND($AN69&lt;&gt;"",$AP69&lt;&gt;""),IF(AN69="세입없음","OK",IF(VLOOKUP($AN69,'3. 일입'!$AK$7:$AL$2000,2,FALSE)=$AP69,"OK","@@")),"@@"))</x:f>
        <x:v/>
      </x:c>
      <x:c r="AR69" s="93"/>
      <x:c r="AS69" s="533"/>
      <x:c r="AT69" s="374" t="str">
        <x:f>IF($AS69="","",IF($AS69="세입없음","OK",IF(COUNTIF('3. 일입'!$AN$8:$AN$2000,$AS69),"OK","@@")))</x:f>
        <x:v/>
      </x:c>
      <x:c r="AU69" s="356" t="str">
        <x:f t="shared" si="15"/>
        <x:v/>
      </x:c>
      <x:c r="AV69" s="374" t="str">
        <x:f t="shared" si="16"/>
        <x:v/>
      </x:c>
      <x:c r="AW69" s="93"/>
      <x:c r="AX69" s="348"/>
      <x:c r="AY69" s="29"/>
    </x:row>
    <x:row r="70" spans="1:51" s="20" customFormat="1" ht="80.099999999999994" customHeight="1">
      <x:c r="A70" s="155" t="str">
        <x:f>IF(D70="","",COUNTA($C$7:C70)-COUNTBLANK($C$7:C70)+4)</x:f>
        <x:v/>
      </x:c>
      <x:c r="B70" s="156" t="str">
        <x: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x:f>
        <x:v/>
      </x:c>
      <x:c r="C70" s="156" t="str">
        <x:f>IF(D70="","",IF(OR(D70="교육지원과",D70="총무과",D70="인사과"),"직접입력",VLOOKUP(D70,구분표!$A$3:$C$258,3,)))</x:f>
        <x:v/>
      </x:c>
      <x:c r="D70" s="219"/>
      <x:c r="E70" s="213"/>
      <x:c r="F70" s="388" t="str">
        <x:f t="shared" si="52"/>
        <x:v/>
      </x:c>
      <x:c r="G70" s="388" t="str">
        <x:f t="shared" si="52"/>
        <x:v/>
      </x:c>
      <x:c r="H70" s="213"/>
      <x:c r="I70" s="156" t="str">
        <x:f>IF(H70="","",VLOOKUP($H70,구분표!$K$3:$M$151,2,FALSE))</x:f>
        <x:v/>
      </x:c>
      <x:c r="J70" s="156" t="str">
        <x:f>IF(I70="","",VLOOKUP($H70,구분표!$K$3:$M$151,3,FALSE))</x:f>
        <x:v/>
      </x:c>
      <x:c r="K70" s="233"/>
      <x:c r="L70" s="233"/>
      <x:c r="M70" s="459" t="str">
        <x:f t="shared" si="53"/>
        <x:v/>
      </x:c>
      <x:c r="N70" s="459" t="str">
        <x:f t="shared" si="54"/>
        <x:v/>
      </x:c>
      <x:c r="O70" s="461" t="str">
        <x:f t="shared" si="47"/>
        <x:v/>
      </x:c>
      <x:c r="P70" s="460"/>
      <x:c r="Q70" s="461">
        <x:f t="shared" si="48"/>
        <x:v>0</x:v>
      </x:c>
      <x:c r="R70" s="462"/>
      <x:c r="S70" s="463">
        <x:f t="shared" si="49"/>
        <x:v>0</x:v>
      </x:c>
      <x:c r="T70" s="162" t="str">
        <x:f t="shared" si="50"/>
        <x:v>X</x:v>
      </x:c>
      <x:c r="U70" s="552"/>
      <x:c r="V70" s="331"/>
      <x:c r="W70" s="221"/>
      <x:c r="X70" s="223"/>
      <x:c r="Y70" s="334"/>
      <x:c r="Z70" s="334"/>
      <x:c r="AA70" s="29"/>
      <x:c r="AB70" s="486">
        <x:f t="shared" si="5"/>
        <x:v>0</x:v>
      </x:c>
      <x:c r="AC70" s="487">
        <x:f t="shared" si="51"/>
        <x:v>0</x:v>
      </x:c>
      <x:c r="AD70" s="487">
        <x:f t="shared" si="6"/>
        <x:v>0</x:v>
      </x:c>
      <x:c r="AE70" s="487">
        <x:f t="shared" si="7"/>
        <x:v>0</x:v>
      </x:c>
      <x:c r="AF70" s="374" t="str">
        <x:f t="shared" si="8"/>
        <x:v/>
      </x:c>
      <x:c r="AG70" s="93"/>
      <x:c r="AH70" s="488">
        <x:f t="shared" si="9"/>
        <x:v>0</x:v>
      </x:c>
      <x:c r="AI70" s="487">
        <x:f t="shared" si="10"/>
        <x:v>0</x:v>
      </x:c>
      <x:c r="AJ70" s="487">
        <x:f t="shared" si="11"/>
        <x:v>0</x:v>
      </x:c>
      <x:c r="AK70" s="487">
        <x:f t="shared" si="12"/>
        <x:v>0</x:v>
      </x:c>
      <x:c r="AL70" s="374" t="str">
        <x:f t="shared" si="13"/>
        <x:v/>
      </x:c>
      <x:c r="AM70" s="92"/>
      <x:c r="AN70" s="221"/>
      <x:c r="AO70" s="374" t="str">
        <x:f>IF($AP70="","",IF($AN70="세입없음","OK",IF(OR($AP70="재원확인",$AN70=""),"@@",IF(COUNTIF('3. 일입'!$AK$8:$AK$2000,$AN70),"OK","@@"))))</x:f>
        <x:v/>
      </x:c>
      <x:c r="AP70" s="356" t="str">
        <x:f t="shared" si="14"/>
        <x:v/>
      </x:c>
      <x:c r="AQ70" s="374" t="str">
        <x:f>IF(AND($AN70="",$AP70=""),"",IF(AND($AN70&lt;&gt;"",$AP70&lt;&gt;""),IF(AN70="세입없음","OK",IF(VLOOKUP($AN70,'3. 일입'!$AK$7:$AL$2000,2,FALSE)=$AP70,"OK","@@")),"@@"))</x:f>
        <x:v/>
      </x:c>
      <x:c r="AR70" s="93"/>
      <x:c r="AS70" s="533"/>
      <x:c r="AT70" s="374" t="str">
        <x:f>IF($AS70="","",IF($AS70="세입없음","OK",IF(COUNTIF('3. 일입'!$AN$8:$AN$2000,$AS70),"OK","@@")))</x:f>
        <x:v/>
      </x:c>
      <x:c r="AU70" s="356" t="str">
        <x:f t="shared" si="15"/>
        <x:v/>
      </x:c>
      <x:c r="AV70" s="374" t="str">
        <x:f t="shared" si="16"/>
        <x:v/>
      </x:c>
      <x:c r="AW70" s="93"/>
      <x:c r="AX70" s="348"/>
      <x:c r="AY70" s="29"/>
    </x:row>
    <x:row r="71" spans="1:51" s="345" customFormat="1" ht="60" customHeight="1">
      <x:c r="A71" s="337"/>
      <x:c r="B71" s="971" t="s">
        <x:v>1519</x:v>
      </x:c>
      <x:c r="C71" s="971"/>
      <x:c r="D71" s="971"/>
      <x:c r="E71" s="971"/>
      <x:c r="F71" s="971"/>
      <x:c r="G71" s="971"/>
      <x:c r="H71" s="338"/>
      <x:c r="I71" s="359"/>
      <x:c r="J71" s="359"/>
      <x:c r="K71" s="339"/>
      <x:c r="L71" s="340" t="str">
        <x:f>SUBTOTAL(3,$L72:$L86)&amp;"건"</x:f>
        <x:v>0건</x:v>
      </x:c>
      <x:c r="M71" s="476">
        <x:f t="shared" ref="M71:N71" si="55">SUBTOTAL(9,M72:M86)</x:f>
        <x:v>0</x:v>
      </x:c>
      <x:c r="N71" s="476">
        <x:f t="shared" si="55"/>
        <x:v>0</x:v>
      </x:c>
      <x:c r="O71" s="482">
        <x:f t="shared" ref="O71:S71" si="56">SUBTOTAL(9,O72:O86)</x:f>
        <x:v>0</x:v>
      </x:c>
      <x:c r="P71" s="482">
        <x:f t="shared" si="56"/>
        <x:v>0</x:v>
      </x:c>
      <x:c r="Q71" s="482">
        <x:f t="shared" si="56"/>
        <x:v>0</x:v>
      </x:c>
      <x:c r="R71" s="482">
        <x:f t="shared" si="56"/>
        <x:v>0</x:v>
      </x:c>
      <x:c r="S71" s="482">
        <x:f t="shared" si="56"/>
        <x:v>0</x:v>
      </x:c>
      <x:c r="T71" s="337"/>
      <x:c r="U71" s="551"/>
      <x:c r="V71" s="341"/>
      <x:c r="W71" s="342"/>
      <x:c r="X71" s="343"/>
      <x:c r="Y71" s="343"/>
      <x:c r="Z71" s="343"/>
      <x:c r="AA71" s="344"/>
      <x:c r="AB71" s="483">
        <x:f>SUBTOTAL(9,AB72:AB86)</x:f>
        <x:v>0</x:v>
      </x:c>
      <x:c r="AC71" s="483">
        <x:f>SUBTOTAL(9,AC72:AC86)</x:f>
        <x:v>0</x:v>
      </x:c>
      <x:c r="AD71" s="483">
        <x:f>SUBTOTAL(9,AD72:AD86)</x:f>
        <x:v>0</x:v>
      </x:c>
      <x:c r="AE71" s="483">
        <x:f>SUBTOTAL(9,AE72:AE86)</x:f>
        <x:v>0</x:v>
      </x:c>
      <x:c r="AF71" s="554" t="str">
        <x:f>IF(COUNTIF(AF72:AF86,"@@")&gt;0,"@@","OK")</x:f>
        <x:v>OK</x:v>
      </x:c>
      <x:c r="AG71" s="344"/>
      <x:c r="AH71" s="483">
        <x:f>SUBTOTAL(9,AH72:AH86)</x:f>
        <x:v>0</x:v>
      </x:c>
      <x:c r="AI71" s="483">
        <x:f>SUBTOTAL(9,AI72:AI86)</x:f>
        <x:v>0</x:v>
      </x:c>
      <x:c r="AJ71" s="483">
        <x:f>SUBTOTAL(9,AJ72:AJ86)</x:f>
        <x:v>0</x:v>
      </x:c>
      <x:c r="AK71" s="483">
        <x:f>SUBTOTAL(9,AK72:AK86)</x:f>
        <x:v>0</x:v>
      </x:c>
      <x:c r="AL71" s="554" t="str">
        <x:f>IF(COUNTIF(AL72:AL86,"@@")&gt;0,"@@","OK")</x:f>
        <x:v>OK</x:v>
      </x:c>
      <x:c r="AM71" s="344"/>
      <x:c r="AN71" s="343"/>
      <x:c r="AO71" s="554" t="str">
        <x:f>IF(COUNTIF(AO72:AO86,"@@")&gt;0,"@@","OK")</x:f>
        <x:v>OK</x:v>
      </x:c>
      <x:c r="AP71" s="343"/>
      <x:c r="AQ71" s="554" t="str">
        <x:f>IF(COUNTIF(AQ72:AQ86,"@@")&gt;0,"@@","OK")</x:f>
        <x:v>OK</x:v>
      </x:c>
      <x:c r="AR71" s="344"/>
      <x:c r="AS71" s="343"/>
      <x:c r="AT71" s="554" t="str">
        <x:f>IF(COUNTIF(AT72:AT86,"@@")&gt;0,"@@","OK")</x:f>
        <x:v>OK</x:v>
      </x:c>
      <x:c r="AU71" s="343"/>
      <x:c r="AV71" s="554" t="str">
        <x:f>IF(COUNTIF(AV72:AV86,"@@")&gt;0,"@@","OK")</x:f>
        <x:v>OK</x:v>
      </x:c>
      <x:c r="AW71" s="344"/>
      <x:c r="AX71" s="343"/>
      <x:c r="AY71" s="344"/>
    </x:row>
    <x:row r="72" spans="1:51" ht="80.099999999999994" customHeight="1">
      <x:c r="A72" s="155" t="str">
        <x:f>IF(D72="","",COUNTA($C$7:C72)-COUNTBLANK($C$7:C72)+5)</x:f>
        <x:v/>
      </x:c>
      <x:c r="B72" s="156" t="str">
        <x: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x:f>
        <x:v/>
      </x:c>
      <x:c r="C72" s="156" t="str">
        <x:f>IF(D72="","",IF(OR(D72="교육지원과",D72="총무과",D72="인사과"),"직접입력",VLOOKUP(D72,구분표!$A$3:$C$258,3,)))</x:f>
        <x:v/>
      </x:c>
      <x:c r="D72" s="219"/>
      <x:c r="E72" s="213"/>
      <x:c r="F72" s="388" t="str">
        <x:f>IF($E72="","",IF($E72="2추","직접입력","-"))</x:f>
        <x:v/>
      </x:c>
      <x:c r="G72" s="388" t="str">
        <x:f>IF($E72="","",IF($E72="2추","직접입력","-"))</x:f>
        <x:v/>
      </x:c>
      <x:c r="H72" s="213"/>
      <x:c r="I72" s="156" t="str">
        <x:f>IF(H72="","",VLOOKUP($H72,구분표!$K$3:$M$151,2,FALSE))</x:f>
        <x:v/>
      </x:c>
      <x:c r="J72" s="156" t="str">
        <x:f>IF(I72="","",VLOOKUP($H72,구분표!$K$3:$M$151,3,FALSE))</x:f>
        <x:v/>
      </x:c>
      <x:c r="K72" s="233"/>
      <x:c r="L72" s="233"/>
      <x:c r="M72" s="459" t="str">
        <x:f>IF($E72="","",IF(OR($E72="2추",$E72="1추",$E72="본예산"),"금액입력","-"))</x:f>
        <x:v/>
      </x:c>
      <x:c r="N72" s="459" t="str">
        <x:f>IF($E72="","",IF($E72="2추","금액입력","-"))</x:f>
        <x:v/>
      </x:c>
      <x:c r="O72" s="461" t="str">
        <x:f t="shared" ref="O72:O86" si="57">IF($E72="","",SUM(M72:N72))</x:f>
        <x:v/>
      </x:c>
      <x:c r="P72" s="460"/>
      <x:c r="Q72" s="461">
        <x:f t="shared" ref="Q72:Q86" si="58">SUM(O72:P72)</x:f>
        <x:v>0</x:v>
      </x:c>
      <x:c r="R72" s="462"/>
      <x:c r="S72" s="463">
        <x:f t="shared" ref="S72:S86" si="59">SUM(O72,R72)</x:f>
        <x:v>0</x:v>
      </x:c>
      <x:c r="T72" s="162" t="str">
        <x:f t="shared" ref="T72:T86" si="60">IF(AND((Q72=0),(S72&gt;0)),"O",IF(AND((P72&lt;0),(Q72-S72&lt;0)),"O","X"))</x:f>
        <x:v>X</x:v>
      </x:c>
      <x:c r="U72" s="552"/>
      <x:c r="V72" s="331"/>
      <x:c r="W72" s="221"/>
      <x:c r="X72" s="223"/>
      <x:c r="Y72" s="334"/>
      <x:c r="Z72" s="334"/>
      <x:c r="AA72" s="29"/>
      <x:c r="AB72" s="486">
        <x:f t="shared" si="5"/>
        <x:v>0</x:v>
      </x:c>
      <x:c r="AC72" s="487">
        <x:f t="shared" ref="AC72:AC86" si="61">IF($P72="",0,IF(AND(ISNUMBER($AB72),ISNUMBER(AD72),ISNUMBER(AE72)),$P72-$AB72-$AD72-$AE72,0))</x:f>
        <x:v>0</x:v>
      </x:c>
      <x:c r="AD72" s="487">
        <x:f t="shared" si="6"/>
        <x:v>0</x:v>
      </x:c>
      <x:c r="AE72" s="487">
        <x:f t="shared" si="7"/>
        <x:v>0</x:v>
      </x:c>
      <x:c r="AF72" s="374" t="str">
        <x:f t="shared" si="8"/>
        <x:v/>
      </x:c>
      <x:c r="AG72" s="93"/>
      <x:c r="AH72" s="488">
        <x:f t="shared" si="9"/>
        <x:v>0</x:v>
      </x:c>
      <x:c r="AI72" s="487">
        <x:f t="shared" si="10"/>
        <x:v>0</x:v>
      </x:c>
      <x:c r="AJ72" s="487">
        <x:f t="shared" si="11"/>
        <x:v>0</x:v>
      </x:c>
      <x:c r="AK72" s="487">
        <x:f t="shared" si="12"/>
        <x:v>0</x:v>
      </x:c>
      <x:c r="AL72" s="374" t="str">
        <x:f t="shared" si="13"/>
        <x:v/>
      </x:c>
      <x:c r="AM72" s="92"/>
      <x:c r="AN72" s="221"/>
      <x:c r="AO72" s="374" t="str">
        <x:f>IF($AP72="","",IF($AN72="세입없음","OK",IF(OR($AP72="재원확인",$AN72=""),"@@",IF(COUNTIF('3. 일입'!$AK$8:$AK$2000,$AN72),"OK","@@"))))</x:f>
        <x:v/>
      </x:c>
      <x:c r="AP72" s="356" t="str">
        <x:f t="shared" si="14"/>
        <x:v/>
      </x:c>
      <x:c r="AQ72" s="374" t="str">
        <x:f>IF(AND($AN72="",$AP72=""),"",IF(AND($AN72&lt;&gt;"",$AP72&lt;&gt;""),IF(AN72="세입없음","OK",IF(VLOOKUP($AN72,'3. 일입'!$AK$7:$AL$2000,2,FALSE)=$AP72,"OK","@@")),"@@"))</x:f>
        <x:v/>
      </x:c>
      <x:c r="AR72" s="93"/>
      <x:c r="AS72" s="533"/>
      <x:c r="AT72" s="374" t="str">
        <x:f>IF($AS72="","",IF($AS72="세입없음","OK",IF(COUNTIF('3. 일입'!$AN$8:$AN$2000,$AS72),"OK","@@")))</x:f>
        <x:v/>
      </x:c>
      <x:c r="AU72" s="356" t="str">
        <x:f t="shared" si="15"/>
        <x:v/>
      </x:c>
      <x:c r="AV72" s="374" t="str">
        <x:f t="shared" si="16"/>
        <x:v/>
      </x:c>
      <x:c r="AW72" s="93"/>
      <x:c r="AX72" s="348"/>
      <x:c r="AY72" s="28"/>
    </x:row>
    <x:row r="73" spans="1:51" s="20" customFormat="1" ht="80.099999999999994" customHeight="1">
      <x:c r="A73" s="155" t="str">
        <x:f>IF(D73="","",COUNTA($C$7:C73)-COUNTBLANK($C$7:C73)+5)</x:f>
        <x:v/>
      </x:c>
      <x:c r="B73" s="156" t="str">
        <x: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x:f>
        <x:v/>
      </x:c>
      <x:c r="C73" s="156" t="str">
        <x:f>IF(D73="","",IF(OR(D73="교육지원과",D73="총무과",D73="인사과"),"직접입력",VLOOKUP(D73,구분표!$A$3:$C$258,3,)))</x:f>
        <x:v/>
      </x:c>
      <x:c r="D73" s="219"/>
      <x:c r="E73" s="213"/>
      <x:c r="F73" s="388" t="str">
        <x:f t="shared" ref="F73:G86" si="62">IF($E73="","",IF($E73="2추","직접입력","-"))</x:f>
        <x:v/>
      </x:c>
      <x:c r="G73" s="388" t="str">
        <x:f t="shared" si="62"/>
        <x:v/>
      </x:c>
      <x:c r="H73" s="213"/>
      <x:c r="I73" s="156" t="str">
        <x:f>IF(H73="","",VLOOKUP($H73,구분표!$K$3:$M$151,2,FALSE))</x:f>
        <x:v/>
      </x:c>
      <x:c r="J73" s="156" t="str">
        <x:f>IF(I73="","",VLOOKUP($H73,구분표!$K$3:$M$151,3,FALSE))</x:f>
        <x:v/>
      </x:c>
      <x:c r="K73" s="233"/>
      <x:c r="L73" s="233"/>
      <x:c r="M73" s="459" t="str">
        <x:f t="shared" ref="M73:M86" si="63">IF($E73="","",IF(OR($E73="2추",$E73="1추",$E73="본예산"),"금액입력","-"))</x:f>
        <x:v/>
      </x:c>
      <x:c r="N73" s="459" t="str">
        <x:f t="shared" ref="N73:N86" si="64">IF($E73="","",IF($E73="2추","금액입력","-"))</x:f>
        <x:v/>
      </x:c>
      <x:c r="O73" s="461" t="str">
        <x:f t="shared" si="57"/>
        <x:v/>
      </x:c>
      <x:c r="P73" s="460"/>
      <x:c r="Q73" s="461">
        <x:f t="shared" si="58"/>
        <x:v>0</x:v>
      </x:c>
      <x:c r="R73" s="462"/>
      <x:c r="S73" s="463">
        <x:f t="shared" si="59"/>
        <x:v>0</x:v>
      </x:c>
      <x:c r="T73" s="162" t="str">
        <x:f t="shared" si="60"/>
        <x:v>X</x:v>
      </x:c>
      <x:c r="U73" s="552"/>
      <x:c r="V73" s="331"/>
      <x:c r="W73" s="221"/>
      <x:c r="X73" s="223"/>
      <x:c r="Y73" s="334"/>
      <x:c r="Z73" s="334"/>
      <x:c r="AA73" s="29"/>
      <x:c r="AB73" s="486">
        <x:f t="shared" ref="AB73:AB86" si="65">IF($P73="",0,IF($P73&lt;&gt;0,"재원입력필요",0))</x:f>
        <x:v>0</x:v>
      </x:c>
      <x:c r="AC73" s="487">
        <x:f t="shared" si="61"/>
        <x:v>0</x:v>
      </x:c>
      <x:c r="AD73" s="487">
        <x:f t="shared" ref="AD73:AD86" si="66">IF($P73="",0,IF(COUNT(FIND("(지방채)",$L73))&gt;0,"재원입력필요",0))</x:f>
        <x:v>0</x:v>
      </x:c>
      <x:c r="AE73" s="487">
        <x:f t="shared" ref="AE73:AE86" si="67">IF($P73="",0,IF(COUNT(FIND("(지역개발기금)",$L73))&gt;0,"재원입력필요",0))</x:f>
        <x:v>0</x:v>
      </x:c>
      <x:c r="AF73" s="374" t="str">
        <x:f t="shared" ref="AF73:AF86" si="68">IF($P73="",IF(SUM($AB73:$AE73)=0,"","@@"),IF(AND($P73=SUM($AB73:$AE73),$Q73&gt;=0),"OK","@@"))</x:f>
        <x:v/>
      </x:c>
      <x:c r="AG73" s="93"/>
      <x:c r="AH73" s="488">
        <x:f t="shared" ref="AH73:AH86" si="69">IF($R73="",0,IF($R73&lt;&gt;0,"재원입력필요",0))</x:f>
        <x:v>0</x:v>
      </x:c>
      <x:c r="AI73" s="487">
        <x:f t="shared" ref="AI73:AI86" si="70">IF($R73="",0,IF(AND(ISNUMBER($AH73),ISNUMBER($AJ73),ISNUMBER($AK73)),$R73-$AH73-$AJ73-$AK73,0))</x:f>
        <x:v>0</x:v>
      </x:c>
      <x:c r="AJ73" s="487">
        <x:f t="shared" ref="AJ73:AJ86" si="71">IF($R73="",0,IF(COUNT(FIND("(지방채)",$L73))&gt;0,"재원입력필요",0))</x:f>
        <x:v>0</x:v>
      </x:c>
      <x:c r="AK73" s="487">
        <x:f t="shared" ref="AK73:AK86" si="72">IF($R73="",0,IF(COUNT(FIND("(지역개발기금)",$L73))&gt;0,"재원입력필요",0))</x:f>
        <x:v>0</x:v>
      </x:c>
      <x:c r="AL73" s="374" t="str">
        <x:f t="shared" ref="AL73:AL86" si="73">IF($R73="",IF(SUM($AH73:$AK73)=0,"","@@"),IF(AND($R73=SUM($AH73:$AK73),$S73&gt;=0),"OK","@@"))</x:f>
        <x:v/>
      </x:c>
      <x:c r="AM73" s="92"/>
      <x:c r="AN73" s="221"/>
      <x:c r="AO73" s="374" t="str">
        <x:f>IF($AP73="","",IF($AN73="세입없음","OK",IF(OR($AP73="재원확인",$AN73=""),"@@",IF(COUNTIF('3. 일입'!$AK$8:$AK$2000,$AN73),"OK","@@"))))</x:f>
        <x:v/>
      </x:c>
      <x:c r="AP73" s="356" t="str">
        <x:f t="shared" ref="AP73:AP86" si="74">IF($K73="","",IF(COUNT(FIND("국비/",$K73)),"국비",IF(COUNT(FIND("균특/",$K73)),"균특",IF(COUNT(FIND("기금/",$K73)),"기금",IF(COUNT(FIND("교부세/",$K73)),"특교",IF(COUNT(FIND("소방안전/",$K73)),"소교",IF(COUNT(FIND("소멸대응/",$K73)),"소멸","재원확인")))))))</x:f>
        <x:v/>
      </x:c>
      <x:c r="AQ73" s="374" t="str">
        <x:f>IF(AND($AN73="",$AP73=""),"",IF(AND($AN73&lt;&gt;"",$AP73&lt;&gt;""),IF(AN73="세입없음","OK",IF(VLOOKUP($AN73,'3. 일입'!$AK$7:$AL$2000,2,FALSE)=$AP73,"OK","@@")),"@@"))</x:f>
        <x:v/>
      </x:c>
      <x:c r="AR73" s="93"/>
      <x:c r="AS73" s="533"/>
      <x:c r="AT73" s="374" t="str">
        <x:f>IF($AS73="","",IF($AS73="세입없음","OK",IF(COUNTIF('3. 일입'!$AN$8:$AN$2000,$AS73),"OK","@@")))</x:f>
        <x:v/>
      </x:c>
      <x:c r="AU73" s="356" t="str">
        <x:f t="shared" ref="AU73:AU86" si="75">IF($L73="","",IF(COUNT(FIND("(지역개발기금)",$L73)),"지역개발기금",IF(COUNT(FIND("지방채",$L73)),"지방채","자체")))</x:f>
        <x:v/>
      </x:c>
      <x:c r="AV73" s="374" t="str">
        <x:f t="shared" ref="AV73:AV86" si="76">IF($AS73="",IF($AU73="","",IF($AU73="자체","OK","@@")),IF($AS73="세입없음","OK",IF($AU73="","@@",IF(ISNUMBER(FIND($AU73,$AS73)),"OK","@@"))))</x:f>
        <x:v/>
      </x:c>
      <x:c r="AW73" s="93"/>
      <x:c r="AX73" s="348"/>
      <x:c r="AY73" s="29"/>
    </x:row>
    <x:row r="74" spans="1:51" s="20" customFormat="1" ht="80.099999999999994" customHeight="1">
      <x:c r="A74" s="155" t="str">
        <x:f>IF(D74="","",COUNTA($C$7:C74)-COUNTBLANK($C$7:C74)+5)</x:f>
        <x:v/>
      </x:c>
      <x:c r="B74" s="156" t="str">
        <x: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x:f>
        <x:v/>
      </x:c>
      <x:c r="C74" s="156" t="str">
        <x:f>IF(D74="","",IF(OR(D74="교육지원과",D74="총무과",D74="인사과"),"직접입력",VLOOKUP(D74,구분표!$A$3:$C$258,3,)))</x:f>
        <x:v/>
      </x:c>
      <x:c r="D74" s="219"/>
      <x:c r="E74" s="213"/>
      <x:c r="F74" s="388" t="str">
        <x:f t="shared" si="62"/>
        <x:v/>
      </x:c>
      <x:c r="G74" s="388" t="str">
        <x:f t="shared" si="62"/>
        <x:v/>
      </x:c>
      <x:c r="H74" s="213"/>
      <x:c r="I74" s="156" t="str">
        <x:f>IF(H74="","",VLOOKUP($H74,구분표!$K$3:$M$151,2,FALSE))</x:f>
        <x:v/>
      </x:c>
      <x:c r="J74" s="156" t="str">
        <x:f>IF(I74="","",VLOOKUP($H74,구분표!$K$3:$M$151,3,FALSE))</x:f>
        <x:v/>
      </x:c>
      <x:c r="K74" s="233"/>
      <x:c r="L74" s="233"/>
      <x:c r="M74" s="459" t="str">
        <x:f t="shared" si="63"/>
        <x:v/>
      </x:c>
      <x:c r="N74" s="459" t="str">
        <x:f t="shared" si="64"/>
        <x:v/>
      </x:c>
      <x:c r="O74" s="461" t="str">
        <x:f t="shared" si="57"/>
        <x:v/>
      </x:c>
      <x:c r="P74" s="460"/>
      <x:c r="Q74" s="461">
        <x:f t="shared" si="58"/>
        <x:v>0</x:v>
      </x:c>
      <x:c r="R74" s="462"/>
      <x:c r="S74" s="463">
        <x:f t="shared" si="59"/>
        <x:v>0</x:v>
      </x:c>
      <x:c r="T74" s="162" t="str">
        <x:f t="shared" si="60"/>
        <x:v>X</x:v>
      </x:c>
      <x:c r="U74" s="552"/>
      <x:c r="V74" s="331"/>
      <x:c r="W74" s="221"/>
      <x:c r="X74" s="223"/>
      <x:c r="Y74" s="334"/>
      <x:c r="Z74" s="334"/>
      <x:c r="AA74" s="29"/>
      <x:c r="AB74" s="486">
        <x:f t="shared" si="65"/>
        <x:v>0</x:v>
      </x:c>
      <x:c r="AC74" s="487">
        <x:f t="shared" si="61"/>
        <x:v>0</x:v>
      </x:c>
      <x:c r="AD74" s="487">
        <x:f t="shared" si="66"/>
        <x:v>0</x:v>
      </x:c>
      <x:c r="AE74" s="487">
        <x:f t="shared" si="67"/>
        <x:v>0</x:v>
      </x:c>
      <x:c r="AF74" s="374" t="str">
        <x:f t="shared" si="68"/>
        <x:v/>
      </x:c>
      <x:c r="AG74" s="93"/>
      <x:c r="AH74" s="488">
        <x:f t="shared" si="69"/>
        <x:v>0</x:v>
      </x:c>
      <x:c r="AI74" s="487">
        <x:f t="shared" si="70"/>
        <x:v>0</x:v>
      </x:c>
      <x:c r="AJ74" s="487">
        <x:f t="shared" si="71"/>
        <x:v>0</x:v>
      </x:c>
      <x:c r="AK74" s="487">
        <x:f t="shared" si="72"/>
        <x:v>0</x:v>
      </x:c>
      <x:c r="AL74" s="374" t="str">
        <x:f t="shared" si="73"/>
        <x:v/>
      </x:c>
      <x:c r="AM74" s="92"/>
      <x:c r="AN74" s="221"/>
      <x:c r="AO74" s="374" t="str">
        <x:f>IF($AP74="","",IF($AN74="세입없음","OK",IF(OR($AP74="재원확인",$AN74=""),"@@",IF(COUNTIF('3. 일입'!$AK$8:$AK$2000,$AN74),"OK","@@"))))</x:f>
        <x:v/>
      </x:c>
      <x:c r="AP74" s="356" t="str">
        <x:f t="shared" si="74"/>
        <x:v/>
      </x:c>
      <x:c r="AQ74" s="374" t="str">
        <x:f>IF(AND($AN74="",$AP74=""),"",IF(AND($AN74&lt;&gt;"",$AP74&lt;&gt;""),IF(AN74="세입없음","OK",IF(VLOOKUP($AN74,'3. 일입'!$AK$7:$AL$2000,2,FALSE)=$AP74,"OK","@@")),"@@"))</x:f>
        <x:v/>
      </x:c>
      <x:c r="AR74" s="93"/>
      <x:c r="AS74" s="533"/>
      <x:c r="AT74" s="374" t="str">
        <x:f>IF($AS74="","",IF($AS74="세입없음","OK",IF(COUNTIF('3. 일입'!$AN$8:$AN$2000,$AS74),"OK","@@")))</x:f>
        <x:v/>
      </x:c>
      <x:c r="AU74" s="356" t="str">
        <x:f t="shared" si="75"/>
        <x:v/>
      </x:c>
      <x:c r="AV74" s="374" t="str">
        <x:f t="shared" si="76"/>
        <x:v/>
      </x:c>
      <x:c r="AW74" s="93"/>
      <x:c r="AX74" s="348"/>
      <x:c r="AY74" s="29"/>
    </x:row>
    <x:row r="75" spans="1:51" s="20" customFormat="1" ht="80.099999999999994" customHeight="1">
      <x:c r="A75" s="155" t="str">
        <x:f>IF(D75="","",COUNTA($C$7:C75)-COUNTBLANK($C$7:C75)+5)</x:f>
        <x:v/>
      </x:c>
      <x:c r="B75" s="156" t="str">
        <x: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x:f>
        <x:v/>
      </x:c>
      <x:c r="C75" s="156" t="str">
        <x:f>IF(D75="","",IF(OR(D75="교육지원과",D75="총무과",D75="인사과"),"직접입력",VLOOKUP(D75,구분표!$A$3:$C$258,3,)))</x:f>
        <x:v/>
      </x:c>
      <x:c r="D75" s="219"/>
      <x:c r="E75" s="213"/>
      <x:c r="F75" s="388" t="str">
        <x:f t="shared" si="62"/>
        <x:v/>
      </x:c>
      <x:c r="G75" s="388" t="str">
        <x:f t="shared" si="62"/>
        <x:v/>
      </x:c>
      <x:c r="H75" s="213"/>
      <x:c r="I75" s="156" t="str">
        <x:f>IF(H75="","",VLOOKUP($H75,구분표!$K$3:$M$151,2,FALSE))</x:f>
        <x:v/>
      </x:c>
      <x:c r="J75" s="156" t="str">
        <x:f>IF(I75="","",VLOOKUP($H75,구분표!$K$3:$M$151,3,FALSE))</x:f>
        <x:v/>
      </x:c>
      <x:c r="K75" s="233"/>
      <x:c r="L75" s="233"/>
      <x:c r="M75" s="459" t="str">
        <x:f t="shared" si="63"/>
        <x:v/>
      </x:c>
      <x:c r="N75" s="459" t="str">
        <x:f t="shared" si="64"/>
        <x:v/>
      </x:c>
      <x:c r="O75" s="461" t="str">
        <x:f t="shared" si="57"/>
        <x:v/>
      </x:c>
      <x:c r="P75" s="460"/>
      <x:c r="Q75" s="461">
        <x:f t="shared" si="58"/>
        <x:v>0</x:v>
      </x:c>
      <x:c r="R75" s="462"/>
      <x:c r="S75" s="463">
        <x:f t="shared" si="59"/>
        <x:v>0</x:v>
      </x:c>
      <x:c r="T75" s="162" t="str">
        <x:f t="shared" si="60"/>
        <x:v>X</x:v>
      </x:c>
      <x:c r="U75" s="552"/>
      <x:c r="V75" s="331"/>
      <x:c r="W75" s="221"/>
      <x:c r="X75" s="223"/>
      <x:c r="Y75" s="334"/>
      <x:c r="Z75" s="334"/>
      <x:c r="AA75" s="29"/>
      <x:c r="AB75" s="486">
        <x:f t="shared" si="65"/>
        <x:v>0</x:v>
      </x:c>
      <x:c r="AC75" s="487">
        <x:f t="shared" si="61"/>
        <x:v>0</x:v>
      </x:c>
      <x:c r="AD75" s="487">
        <x:f t="shared" si="66"/>
        <x:v>0</x:v>
      </x:c>
      <x:c r="AE75" s="487">
        <x:f t="shared" si="67"/>
        <x:v>0</x:v>
      </x:c>
      <x:c r="AF75" s="374" t="str">
        <x:f t="shared" si="68"/>
        <x:v/>
      </x:c>
      <x:c r="AG75" s="93"/>
      <x:c r="AH75" s="488">
        <x:f t="shared" si="69"/>
        <x:v>0</x:v>
      </x:c>
      <x:c r="AI75" s="487">
        <x:f t="shared" si="70"/>
        <x:v>0</x:v>
      </x:c>
      <x:c r="AJ75" s="487">
        <x:f t="shared" si="71"/>
        <x:v>0</x:v>
      </x:c>
      <x:c r="AK75" s="487">
        <x:f t="shared" si="72"/>
        <x:v>0</x:v>
      </x:c>
      <x:c r="AL75" s="374" t="str">
        <x:f t="shared" si="73"/>
        <x:v/>
      </x:c>
      <x:c r="AM75" s="92"/>
      <x:c r="AN75" s="221"/>
      <x:c r="AO75" s="374" t="str">
        <x:f>IF($AP75="","",IF($AN75="세입없음","OK",IF(OR($AP75="재원확인",$AN75=""),"@@",IF(COUNTIF('3. 일입'!$AK$8:$AK$2000,$AN75),"OK","@@"))))</x:f>
        <x:v/>
      </x:c>
      <x:c r="AP75" s="356" t="str">
        <x:f t="shared" si="74"/>
        <x:v/>
      </x:c>
      <x:c r="AQ75" s="374" t="str">
        <x:f>IF(AND($AN75="",$AP75=""),"",IF(AND($AN75&lt;&gt;"",$AP75&lt;&gt;""),IF(AN75="세입없음","OK",IF(VLOOKUP($AN75,'3. 일입'!$AK$7:$AL$2000,2,FALSE)=$AP75,"OK","@@")),"@@"))</x:f>
        <x:v/>
      </x:c>
      <x:c r="AR75" s="93"/>
      <x:c r="AS75" s="533"/>
      <x:c r="AT75" s="374" t="str">
        <x:f>IF($AS75="","",IF($AS75="세입없음","OK",IF(COUNTIF('3. 일입'!$AN$8:$AN$2000,$AS75),"OK","@@")))</x:f>
        <x:v/>
      </x:c>
      <x:c r="AU75" s="356" t="str">
        <x:f t="shared" si="75"/>
        <x:v/>
      </x:c>
      <x:c r="AV75" s="374" t="str">
        <x:f t="shared" si="76"/>
        <x:v/>
      </x:c>
      <x:c r="AW75" s="93"/>
      <x:c r="AX75" s="348"/>
      <x:c r="AY75" s="29"/>
    </x:row>
    <x:row r="76" spans="1:51" s="20" customFormat="1" ht="80.099999999999994" customHeight="1">
      <x:c r="A76" s="155" t="str">
        <x:f>IF(D76="","",COUNTA($C$7:C76)-COUNTBLANK($C$7:C76)+5)</x:f>
        <x:v/>
      </x:c>
      <x:c r="B76" s="156" t="str">
        <x: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x:f>
        <x:v/>
      </x:c>
      <x:c r="C76" s="156" t="str">
        <x:f>IF(D76="","",IF(OR(D76="교육지원과",D76="총무과",D76="인사과"),"직접입력",VLOOKUP(D76,구분표!$A$3:$C$258,3,)))</x:f>
        <x:v/>
      </x:c>
      <x:c r="D76" s="219"/>
      <x:c r="E76" s="213"/>
      <x:c r="F76" s="388" t="str">
        <x:f t="shared" si="62"/>
        <x:v/>
      </x:c>
      <x:c r="G76" s="388" t="str">
        <x:f t="shared" si="62"/>
        <x:v/>
      </x:c>
      <x:c r="H76" s="213"/>
      <x:c r="I76" s="156" t="str">
        <x:f>IF(H76="","",VLOOKUP($H76,구분표!$K$3:$M$151,2,FALSE))</x:f>
        <x:v/>
      </x:c>
      <x:c r="J76" s="156" t="str">
        <x:f>IF(I76="","",VLOOKUP($H76,구분표!$K$3:$M$151,3,FALSE))</x:f>
        <x:v/>
      </x:c>
      <x:c r="K76" s="233"/>
      <x:c r="L76" s="233"/>
      <x:c r="M76" s="459" t="str">
        <x:f t="shared" si="63"/>
        <x:v/>
      </x:c>
      <x:c r="N76" s="459" t="str">
        <x:f t="shared" si="64"/>
        <x:v/>
      </x:c>
      <x:c r="O76" s="461" t="str">
        <x:f t="shared" si="57"/>
        <x:v/>
      </x:c>
      <x:c r="P76" s="460"/>
      <x:c r="Q76" s="461">
        <x:f t="shared" si="58"/>
        <x:v>0</x:v>
      </x:c>
      <x:c r="R76" s="462"/>
      <x:c r="S76" s="463">
        <x:f t="shared" si="59"/>
        <x:v>0</x:v>
      </x:c>
      <x:c r="T76" s="162" t="str">
        <x:f t="shared" si="60"/>
        <x:v>X</x:v>
      </x:c>
      <x:c r="U76" s="552"/>
      <x:c r="V76" s="331"/>
      <x:c r="W76" s="221"/>
      <x:c r="X76" s="223"/>
      <x:c r="Y76" s="334"/>
      <x:c r="Z76" s="334"/>
      <x:c r="AA76" s="29"/>
      <x:c r="AB76" s="486">
        <x:f t="shared" si="65"/>
        <x:v>0</x:v>
      </x:c>
      <x:c r="AC76" s="487">
        <x:f t="shared" si="61"/>
        <x:v>0</x:v>
      </x:c>
      <x:c r="AD76" s="487">
        <x:f t="shared" si="66"/>
        <x:v>0</x:v>
      </x:c>
      <x:c r="AE76" s="487">
        <x:f t="shared" si="67"/>
        <x:v>0</x:v>
      </x:c>
      <x:c r="AF76" s="374" t="str">
        <x:f t="shared" si="68"/>
        <x:v/>
      </x:c>
      <x:c r="AG76" s="93"/>
      <x:c r="AH76" s="488">
        <x:f t="shared" si="69"/>
        <x:v>0</x:v>
      </x:c>
      <x:c r="AI76" s="487">
        <x:f t="shared" si="70"/>
        <x:v>0</x:v>
      </x:c>
      <x:c r="AJ76" s="487">
        <x:f t="shared" si="71"/>
        <x:v>0</x:v>
      </x:c>
      <x:c r="AK76" s="487">
        <x:f t="shared" si="72"/>
        <x:v>0</x:v>
      </x:c>
      <x:c r="AL76" s="374" t="str">
        <x:f t="shared" si="73"/>
        <x:v/>
      </x:c>
      <x:c r="AM76" s="92"/>
      <x:c r="AN76" s="221"/>
      <x:c r="AO76" s="374" t="str">
        <x:f>IF($AP76="","",IF($AN76="세입없음","OK",IF(OR($AP76="재원확인",$AN76=""),"@@",IF(COUNTIF('3. 일입'!$AK$8:$AK$2000,$AN76),"OK","@@"))))</x:f>
        <x:v/>
      </x:c>
      <x:c r="AP76" s="356" t="str">
        <x:f t="shared" si="74"/>
        <x:v/>
      </x:c>
      <x:c r="AQ76" s="374" t="str">
        <x:f>IF(AND($AN76="",$AP76=""),"",IF(AND($AN76&lt;&gt;"",$AP76&lt;&gt;""),IF(AN76="세입없음","OK",IF(VLOOKUP($AN76,'3. 일입'!$AK$7:$AL$2000,2,FALSE)=$AP76,"OK","@@")),"@@"))</x:f>
        <x:v/>
      </x:c>
      <x:c r="AR76" s="93"/>
      <x:c r="AS76" s="533"/>
      <x:c r="AT76" s="374" t="str">
        <x:f>IF($AS76="","",IF($AS76="세입없음","OK",IF(COUNTIF('3. 일입'!$AN$8:$AN$2000,$AS76),"OK","@@")))</x:f>
        <x:v/>
      </x:c>
      <x:c r="AU76" s="356" t="str">
        <x:f t="shared" si="75"/>
        <x:v/>
      </x:c>
      <x:c r="AV76" s="374" t="str">
        <x:f t="shared" si="76"/>
        <x:v/>
      </x:c>
      <x:c r="AW76" s="93"/>
      <x:c r="AX76" s="348"/>
      <x:c r="AY76" s="29"/>
    </x:row>
    <x:row r="77" spans="1:51" s="20" customFormat="1" ht="80.099999999999994" customHeight="1">
      <x:c r="A77" s="155" t="str">
        <x:f>IF(D77="","",COUNTA($C$7:C77)-COUNTBLANK($C$7:C77)+5)</x:f>
        <x:v/>
      </x:c>
      <x:c r="B77" s="156" t="str">
        <x: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x:f>
        <x:v/>
      </x:c>
      <x:c r="C77" s="156" t="str">
        <x:f>IF(D77="","",IF(OR(D77="교육지원과",D77="총무과",D77="인사과"),"직접입력",VLOOKUP(D77,구분표!$A$3:$C$258,3,)))</x:f>
        <x:v/>
      </x:c>
      <x:c r="D77" s="219"/>
      <x:c r="E77" s="213"/>
      <x:c r="F77" s="388" t="str">
        <x:f t="shared" si="62"/>
        <x:v/>
      </x:c>
      <x:c r="G77" s="388" t="str">
        <x:f t="shared" si="62"/>
        <x:v/>
      </x:c>
      <x:c r="H77" s="213"/>
      <x:c r="I77" s="156" t="str">
        <x:f>IF(H77="","",VLOOKUP($H77,구분표!$K$3:$M$151,2,FALSE))</x:f>
        <x:v/>
      </x:c>
      <x:c r="J77" s="156" t="str">
        <x:f>IF(I77="","",VLOOKUP($H77,구분표!$K$3:$M$151,3,FALSE))</x:f>
        <x:v/>
      </x:c>
      <x:c r="K77" s="233"/>
      <x:c r="L77" s="233"/>
      <x:c r="M77" s="459" t="str">
        <x:f t="shared" si="63"/>
        <x:v/>
      </x:c>
      <x:c r="N77" s="459" t="str">
        <x:f t="shared" si="64"/>
        <x:v/>
      </x:c>
      <x:c r="O77" s="461" t="str">
        <x:f t="shared" si="57"/>
        <x:v/>
      </x:c>
      <x:c r="P77" s="460"/>
      <x:c r="Q77" s="461">
        <x:f t="shared" si="58"/>
        <x:v>0</x:v>
      </x:c>
      <x:c r="R77" s="462"/>
      <x:c r="S77" s="463">
        <x:f t="shared" si="59"/>
        <x:v>0</x:v>
      </x:c>
      <x:c r="T77" s="162" t="str">
        <x:f t="shared" si="60"/>
        <x:v>X</x:v>
      </x:c>
      <x:c r="U77" s="552"/>
      <x:c r="V77" s="331"/>
      <x:c r="W77" s="221"/>
      <x:c r="X77" s="223"/>
      <x:c r="Y77" s="334"/>
      <x:c r="Z77" s="334"/>
      <x:c r="AA77" s="29"/>
      <x:c r="AB77" s="486">
        <x:f t="shared" si="65"/>
        <x:v>0</x:v>
      </x:c>
      <x:c r="AC77" s="487">
        <x:f t="shared" si="61"/>
        <x:v>0</x:v>
      </x:c>
      <x:c r="AD77" s="487">
        <x:f t="shared" si="66"/>
        <x:v>0</x:v>
      </x:c>
      <x:c r="AE77" s="487">
        <x:f t="shared" si="67"/>
        <x:v>0</x:v>
      </x:c>
      <x:c r="AF77" s="374" t="str">
        <x:f t="shared" si="68"/>
        <x:v/>
      </x:c>
      <x:c r="AG77" s="93"/>
      <x:c r="AH77" s="488">
        <x:f t="shared" si="69"/>
        <x:v>0</x:v>
      </x:c>
      <x:c r="AI77" s="487">
        <x:f t="shared" si="70"/>
        <x:v>0</x:v>
      </x:c>
      <x:c r="AJ77" s="487">
        <x:f t="shared" si="71"/>
        <x:v>0</x:v>
      </x:c>
      <x:c r="AK77" s="487">
        <x:f t="shared" si="72"/>
        <x:v>0</x:v>
      </x:c>
      <x:c r="AL77" s="374" t="str">
        <x:f t="shared" si="73"/>
        <x:v/>
      </x:c>
      <x:c r="AM77" s="92"/>
      <x:c r="AN77" s="221"/>
      <x:c r="AO77" s="374" t="str">
        <x:f>IF($AP77="","",IF($AN77="세입없음","OK",IF(OR($AP77="재원확인",$AN77=""),"@@",IF(COUNTIF('3. 일입'!$AK$8:$AK$2000,$AN77),"OK","@@"))))</x:f>
        <x:v/>
      </x:c>
      <x:c r="AP77" s="356" t="str">
        <x:f t="shared" si="74"/>
        <x:v/>
      </x:c>
      <x:c r="AQ77" s="374" t="str">
        <x:f>IF(AND($AN77="",$AP77=""),"",IF(AND($AN77&lt;&gt;"",$AP77&lt;&gt;""),IF(AN77="세입없음","OK",IF(VLOOKUP($AN77,'3. 일입'!$AK$7:$AL$2000,2,FALSE)=$AP77,"OK","@@")),"@@"))</x:f>
        <x:v/>
      </x:c>
      <x:c r="AR77" s="93"/>
      <x:c r="AS77" s="533"/>
      <x:c r="AT77" s="374" t="str">
        <x:f>IF($AS77="","",IF($AS77="세입없음","OK",IF(COUNTIF('3. 일입'!$AN$8:$AN$2000,$AS77),"OK","@@")))</x:f>
        <x:v/>
      </x:c>
      <x:c r="AU77" s="356" t="str">
        <x:f t="shared" si="75"/>
        <x:v/>
      </x:c>
      <x:c r="AV77" s="374" t="str">
        <x:f t="shared" si="76"/>
        <x:v/>
      </x:c>
      <x:c r="AW77" s="93"/>
      <x:c r="AX77" s="348"/>
      <x:c r="AY77" s="29"/>
    </x:row>
    <x:row r="78" spans="1:51" s="20" customFormat="1" ht="80.099999999999994" customHeight="1">
      <x:c r="A78" s="155" t="str">
        <x:f>IF(D78="","",COUNTA($C$7:C78)-COUNTBLANK($C$7:C78)+5)</x:f>
        <x:v/>
      </x:c>
      <x:c r="B78" s="156" t="str">
        <x: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x:f>
        <x:v/>
      </x:c>
      <x:c r="C78" s="156" t="str">
        <x:f>IF(D78="","",IF(OR(D78="교육지원과",D78="총무과",D78="인사과"),"직접입력",VLOOKUP(D78,구분표!$A$3:$C$258,3,)))</x:f>
        <x:v/>
      </x:c>
      <x:c r="D78" s="219"/>
      <x:c r="E78" s="213"/>
      <x:c r="F78" s="388" t="str">
        <x:f t="shared" si="62"/>
        <x:v/>
      </x:c>
      <x:c r="G78" s="388" t="str">
        <x:f t="shared" si="62"/>
        <x:v/>
      </x:c>
      <x:c r="H78" s="213"/>
      <x:c r="I78" s="156" t="str">
        <x:f>IF(H78="","",VLOOKUP($H78,구분표!$K$3:$M$151,2,FALSE))</x:f>
        <x:v/>
      </x:c>
      <x:c r="J78" s="156" t="str">
        <x:f>IF(I78="","",VLOOKUP($H78,구분표!$K$3:$M$151,3,FALSE))</x:f>
        <x:v/>
      </x:c>
      <x:c r="K78" s="233"/>
      <x:c r="L78" s="233"/>
      <x:c r="M78" s="459" t="str">
        <x:f t="shared" si="63"/>
        <x:v/>
      </x:c>
      <x:c r="N78" s="459" t="str">
        <x:f t="shared" si="64"/>
        <x:v/>
      </x:c>
      <x:c r="O78" s="461" t="str">
        <x:f t="shared" si="57"/>
        <x:v/>
      </x:c>
      <x:c r="P78" s="460"/>
      <x:c r="Q78" s="461">
        <x:f t="shared" si="58"/>
        <x:v>0</x:v>
      </x:c>
      <x:c r="R78" s="462"/>
      <x:c r="S78" s="463">
        <x:f t="shared" si="59"/>
        <x:v>0</x:v>
      </x:c>
      <x:c r="T78" s="162" t="str">
        <x:f t="shared" si="60"/>
        <x:v>X</x:v>
      </x:c>
      <x:c r="U78" s="552"/>
      <x:c r="V78" s="331"/>
      <x:c r="W78" s="221"/>
      <x:c r="X78" s="223"/>
      <x:c r="Y78" s="334"/>
      <x:c r="Z78" s="334"/>
      <x:c r="AA78" s="29"/>
      <x:c r="AB78" s="486">
        <x:f t="shared" si="65"/>
        <x:v>0</x:v>
      </x:c>
      <x:c r="AC78" s="487">
        <x:f t="shared" si="61"/>
        <x:v>0</x:v>
      </x:c>
      <x:c r="AD78" s="487">
        <x:f t="shared" si="66"/>
        <x:v>0</x:v>
      </x:c>
      <x:c r="AE78" s="487">
        <x:f t="shared" si="67"/>
        <x:v>0</x:v>
      </x:c>
      <x:c r="AF78" s="374" t="str">
        <x:f t="shared" si="68"/>
        <x:v/>
      </x:c>
      <x:c r="AG78" s="93"/>
      <x:c r="AH78" s="488">
        <x:f t="shared" si="69"/>
        <x:v>0</x:v>
      </x:c>
      <x:c r="AI78" s="487">
        <x:f t="shared" si="70"/>
        <x:v>0</x:v>
      </x:c>
      <x:c r="AJ78" s="487">
        <x:f t="shared" si="71"/>
        <x:v>0</x:v>
      </x:c>
      <x:c r="AK78" s="487">
        <x:f t="shared" si="72"/>
        <x:v>0</x:v>
      </x:c>
      <x:c r="AL78" s="374" t="str">
        <x:f t="shared" si="73"/>
        <x:v/>
      </x:c>
      <x:c r="AM78" s="92"/>
      <x:c r="AN78" s="221"/>
      <x:c r="AO78" s="374" t="str">
        <x:f>IF($AP78="","",IF($AN78="세입없음","OK",IF(OR($AP78="재원확인",$AN78=""),"@@",IF(COUNTIF('3. 일입'!$AK$8:$AK$2000,$AN78),"OK","@@"))))</x:f>
        <x:v/>
      </x:c>
      <x:c r="AP78" s="356" t="str">
        <x:f t="shared" si="74"/>
        <x:v/>
      </x:c>
      <x:c r="AQ78" s="374" t="str">
        <x:f>IF(AND($AN78="",$AP78=""),"",IF(AND($AN78&lt;&gt;"",$AP78&lt;&gt;""),IF(AN78="세입없음","OK",IF(VLOOKUP($AN78,'3. 일입'!$AK$7:$AL$2000,2,FALSE)=$AP78,"OK","@@")),"@@"))</x:f>
        <x:v/>
      </x:c>
      <x:c r="AR78" s="93"/>
      <x:c r="AS78" s="533"/>
      <x:c r="AT78" s="374" t="str">
        <x:f>IF($AS78="","",IF($AS78="세입없음","OK",IF(COUNTIF('3. 일입'!$AN$8:$AN$2000,$AS78),"OK","@@")))</x:f>
        <x:v/>
      </x:c>
      <x:c r="AU78" s="356" t="str">
        <x:f t="shared" si="75"/>
        <x:v/>
      </x:c>
      <x:c r="AV78" s="374" t="str">
        <x:f t="shared" si="76"/>
        <x:v/>
      </x:c>
      <x:c r="AW78" s="93"/>
      <x:c r="AX78" s="348"/>
      <x:c r="AY78" s="29"/>
    </x:row>
    <x:row r="79" spans="1:51" s="20" customFormat="1" ht="80.099999999999994" customHeight="1">
      <x:c r="A79" s="155" t="str">
        <x:f>IF(D79="","",COUNTA($C$7:C79)-COUNTBLANK($C$7:C79)+5)</x:f>
        <x:v/>
      </x:c>
      <x:c r="B79" s="156" t="str">
        <x: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x:f>
        <x:v/>
      </x:c>
      <x:c r="C79" s="156" t="str">
        <x:f>IF(D79="","",IF(OR(D79="교육지원과",D79="총무과",D79="인사과"),"직접입력",VLOOKUP(D79,구분표!$A$3:$C$258,3,)))</x:f>
        <x:v/>
      </x:c>
      <x:c r="D79" s="219"/>
      <x:c r="E79" s="213"/>
      <x:c r="F79" s="388" t="str">
        <x:f t="shared" si="62"/>
        <x:v/>
      </x:c>
      <x:c r="G79" s="388" t="str">
        <x:f t="shared" si="62"/>
        <x:v/>
      </x:c>
      <x:c r="H79" s="213"/>
      <x:c r="I79" s="156" t="str">
        <x:f>IF(H79="","",VLOOKUP($H79,구분표!$K$3:$M$151,2,FALSE))</x:f>
        <x:v/>
      </x:c>
      <x:c r="J79" s="156" t="str">
        <x:f>IF(I79="","",VLOOKUP($H79,구분표!$K$3:$M$151,3,FALSE))</x:f>
        <x:v/>
      </x:c>
      <x:c r="K79" s="233"/>
      <x:c r="L79" s="233"/>
      <x:c r="M79" s="459" t="str">
        <x:f t="shared" si="63"/>
        <x:v/>
      </x:c>
      <x:c r="N79" s="459" t="str">
        <x:f t="shared" si="64"/>
        <x:v/>
      </x:c>
      <x:c r="O79" s="461" t="str">
        <x:f t="shared" si="57"/>
        <x:v/>
      </x:c>
      <x:c r="P79" s="460"/>
      <x:c r="Q79" s="461">
        <x:f t="shared" si="58"/>
        <x:v>0</x:v>
      </x:c>
      <x:c r="R79" s="462"/>
      <x:c r="S79" s="463">
        <x:f t="shared" si="59"/>
        <x:v>0</x:v>
      </x:c>
      <x:c r="T79" s="162" t="str">
        <x:f t="shared" si="60"/>
        <x:v>X</x:v>
      </x:c>
      <x:c r="U79" s="552"/>
      <x:c r="V79" s="331"/>
      <x:c r="W79" s="221"/>
      <x:c r="X79" s="223"/>
      <x:c r="Y79" s="334"/>
      <x:c r="Z79" s="334"/>
      <x:c r="AA79" s="29"/>
      <x:c r="AB79" s="486">
        <x:f t="shared" si="65"/>
        <x:v>0</x:v>
      </x:c>
      <x:c r="AC79" s="487">
        <x:f t="shared" si="61"/>
        <x:v>0</x:v>
      </x:c>
      <x:c r="AD79" s="487">
        <x:f t="shared" si="66"/>
        <x:v>0</x:v>
      </x:c>
      <x:c r="AE79" s="487">
        <x:f t="shared" si="67"/>
        <x:v>0</x:v>
      </x:c>
      <x:c r="AF79" s="374" t="str">
        <x:f t="shared" si="68"/>
        <x:v/>
      </x:c>
      <x:c r="AG79" s="93"/>
      <x:c r="AH79" s="488">
        <x:f t="shared" si="69"/>
        <x:v>0</x:v>
      </x:c>
      <x:c r="AI79" s="487">
        <x:f t="shared" si="70"/>
        <x:v>0</x:v>
      </x:c>
      <x:c r="AJ79" s="487">
        <x:f t="shared" si="71"/>
        <x:v>0</x:v>
      </x:c>
      <x:c r="AK79" s="487">
        <x:f t="shared" si="72"/>
        <x:v>0</x:v>
      </x:c>
      <x:c r="AL79" s="374" t="str">
        <x:f t="shared" si="73"/>
        <x:v/>
      </x:c>
      <x:c r="AM79" s="92"/>
      <x:c r="AN79" s="221"/>
      <x:c r="AO79" s="374" t="str">
        <x:f>IF($AP79="","",IF($AN79="세입없음","OK",IF(OR($AP79="재원확인",$AN79=""),"@@",IF(COUNTIF('3. 일입'!$AK$8:$AK$2000,$AN79),"OK","@@"))))</x:f>
        <x:v/>
      </x:c>
      <x:c r="AP79" s="356" t="str">
        <x:f t="shared" si="74"/>
        <x:v/>
      </x:c>
      <x:c r="AQ79" s="374" t="str">
        <x:f>IF(AND($AN79="",$AP79=""),"",IF(AND($AN79&lt;&gt;"",$AP79&lt;&gt;""),IF(AN79="세입없음","OK",IF(VLOOKUP($AN79,'3. 일입'!$AK$7:$AL$2000,2,FALSE)=$AP79,"OK","@@")),"@@"))</x:f>
        <x:v/>
      </x:c>
      <x:c r="AR79" s="93"/>
      <x:c r="AS79" s="533"/>
      <x:c r="AT79" s="374" t="str">
        <x:f>IF($AS79="","",IF($AS79="세입없음","OK",IF(COUNTIF('3. 일입'!$AN$8:$AN$2000,$AS79),"OK","@@")))</x:f>
        <x:v/>
      </x:c>
      <x:c r="AU79" s="356" t="str">
        <x:f t="shared" si="75"/>
        <x:v/>
      </x:c>
      <x:c r="AV79" s="374" t="str">
        <x:f t="shared" si="76"/>
        <x:v/>
      </x:c>
      <x:c r="AW79" s="93"/>
      <x:c r="AX79" s="348"/>
      <x:c r="AY79" s="29"/>
    </x:row>
    <x:row r="80" spans="1:51" s="20" customFormat="1" ht="80.099999999999994" customHeight="1">
      <x:c r="A80" s="155" t="str">
        <x:f>IF(D80="","",COUNTA($C$7:C80)-COUNTBLANK($C$7:C80)+5)</x:f>
        <x:v/>
      </x:c>
      <x:c r="B80" s="156" t="str">
        <x: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x:f>
        <x:v/>
      </x:c>
      <x:c r="C80" s="156" t="str">
        <x:f>IF(D80="","",IF(OR(D80="교육지원과",D80="총무과",D80="인사과"),"직접입력",VLOOKUP(D80,구분표!$A$3:$C$258,3,)))</x:f>
        <x:v/>
      </x:c>
      <x:c r="D80" s="219"/>
      <x:c r="E80" s="213"/>
      <x:c r="F80" s="388" t="str">
        <x:f t="shared" si="62"/>
        <x:v/>
      </x:c>
      <x:c r="G80" s="388" t="str">
        <x:f t="shared" si="62"/>
        <x:v/>
      </x:c>
      <x:c r="H80" s="213"/>
      <x:c r="I80" s="156" t="str">
        <x:f>IF(H80="","",VLOOKUP($H80,구분표!$K$3:$M$151,2,FALSE))</x:f>
        <x:v/>
      </x:c>
      <x:c r="J80" s="156" t="str">
        <x:f>IF(I80="","",VLOOKUP($H80,구분표!$K$3:$M$151,3,FALSE))</x:f>
        <x:v/>
      </x:c>
      <x:c r="K80" s="233"/>
      <x:c r="L80" s="233"/>
      <x:c r="M80" s="459" t="str">
        <x:f t="shared" si="63"/>
        <x:v/>
      </x:c>
      <x:c r="N80" s="459" t="str">
        <x:f t="shared" si="64"/>
        <x:v/>
      </x:c>
      <x:c r="O80" s="461" t="str">
        <x:f t="shared" si="57"/>
        <x:v/>
      </x:c>
      <x:c r="P80" s="460"/>
      <x:c r="Q80" s="461">
        <x:f t="shared" si="58"/>
        <x:v>0</x:v>
      </x:c>
      <x:c r="R80" s="462"/>
      <x:c r="S80" s="463">
        <x:f t="shared" si="59"/>
        <x:v>0</x:v>
      </x:c>
      <x:c r="T80" s="162" t="str">
        <x:f t="shared" si="60"/>
        <x:v>X</x:v>
      </x:c>
      <x:c r="U80" s="552"/>
      <x:c r="V80" s="331"/>
      <x:c r="W80" s="221"/>
      <x:c r="X80" s="223"/>
      <x:c r="Y80" s="334"/>
      <x:c r="Z80" s="334"/>
      <x:c r="AA80" s="29"/>
      <x:c r="AB80" s="486">
        <x:f t="shared" si="65"/>
        <x:v>0</x:v>
      </x:c>
      <x:c r="AC80" s="487">
        <x:f t="shared" si="61"/>
        <x:v>0</x:v>
      </x:c>
      <x:c r="AD80" s="487">
        <x:f t="shared" si="66"/>
        <x:v>0</x:v>
      </x:c>
      <x:c r="AE80" s="487">
        <x:f t="shared" si="67"/>
        <x:v>0</x:v>
      </x:c>
      <x:c r="AF80" s="374" t="str">
        <x:f t="shared" si="68"/>
        <x:v/>
      </x:c>
      <x:c r="AG80" s="93"/>
      <x:c r="AH80" s="488">
        <x:f t="shared" si="69"/>
        <x:v>0</x:v>
      </x:c>
      <x:c r="AI80" s="487">
        <x:f t="shared" si="70"/>
        <x:v>0</x:v>
      </x:c>
      <x:c r="AJ80" s="487">
        <x:f t="shared" si="71"/>
        <x:v>0</x:v>
      </x:c>
      <x:c r="AK80" s="487">
        <x:f t="shared" si="72"/>
        <x:v>0</x:v>
      </x:c>
      <x:c r="AL80" s="374" t="str">
        <x:f t="shared" si="73"/>
        <x:v/>
      </x:c>
      <x:c r="AM80" s="92"/>
      <x:c r="AN80" s="221"/>
      <x:c r="AO80" s="374" t="str">
        <x:f>IF($AP80="","",IF($AN80="세입없음","OK",IF(OR($AP80="재원확인",$AN80=""),"@@",IF(COUNTIF('3. 일입'!$AK$8:$AK$2000,$AN80),"OK","@@"))))</x:f>
        <x:v/>
      </x:c>
      <x:c r="AP80" s="356" t="str">
        <x:f t="shared" si="74"/>
        <x:v/>
      </x:c>
      <x:c r="AQ80" s="374" t="str">
        <x:f>IF(AND($AN80="",$AP80=""),"",IF(AND($AN80&lt;&gt;"",$AP80&lt;&gt;""),IF(AN80="세입없음","OK",IF(VLOOKUP($AN80,'3. 일입'!$AK$7:$AL$2000,2,FALSE)=$AP80,"OK","@@")),"@@"))</x:f>
        <x:v/>
      </x:c>
      <x:c r="AR80" s="93"/>
      <x:c r="AS80" s="533"/>
      <x:c r="AT80" s="374" t="str">
        <x:f>IF($AS80="","",IF($AS80="세입없음","OK",IF(COUNTIF('3. 일입'!$AN$8:$AN$2000,$AS80),"OK","@@")))</x:f>
        <x:v/>
      </x:c>
      <x:c r="AU80" s="356" t="str">
        <x:f t="shared" si="75"/>
        <x:v/>
      </x:c>
      <x:c r="AV80" s="374" t="str">
        <x:f t="shared" si="76"/>
        <x:v/>
      </x:c>
      <x:c r="AW80" s="93"/>
      <x:c r="AX80" s="348"/>
      <x:c r="AY80" s="29"/>
    </x:row>
    <x:row r="81" spans="1:51" s="20" customFormat="1" ht="80.099999999999994" customHeight="1">
      <x:c r="A81" s="155" t="str">
        <x:f>IF(D81="","",COUNTA($C$7:C81)-COUNTBLANK($C$7:C81)+5)</x:f>
        <x:v/>
      </x:c>
      <x:c r="B81" s="156" t="str">
        <x: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x:f>
        <x:v/>
      </x:c>
      <x:c r="C81" s="156" t="str">
        <x:f>IF(D81="","",IF(OR(D81="교육지원과",D81="총무과",D81="인사과"),"직접입력",VLOOKUP(D81,구분표!$A$3:$C$258,3,)))</x:f>
        <x:v/>
      </x:c>
      <x:c r="D81" s="219"/>
      <x:c r="E81" s="213"/>
      <x:c r="F81" s="388" t="str">
        <x:f t="shared" si="62"/>
        <x:v/>
      </x:c>
      <x:c r="G81" s="388" t="str">
        <x:f t="shared" si="62"/>
        <x:v/>
      </x:c>
      <x:c r="H81" s="213"/>
      <x:c r="I81" s="156" t="str">
        <x:f>IF(H81="","",VLOOKUP($H81,구분표!$K$3:$M$151,2,FALSE))</x:f>
        <x:v/>
      </x:c>
      <x:c r="J81" s="156" t="str">
        <x:f>IF(I81="","",VLOOKUP($H81,구분표!$K$3:$M$151,3,FALSE))</x:f>
        <x:v/>
      </x:c>
      <x:c r="K81" s="233"/>
      <x:c r="L81" s="233"/>
      <x:c r="M81" s="459" t="str">
        <x:f t="shared" si="63"/>
        <x:v/>
      </x:c>
      <x:c r="N81" s="459" t="str">
        <x:f t="shared" si="64"/>
        <x:v/>
      </x:c>
      <x:c r="O81" s="461" t="str">
        <x:f t="shared" si="57"/>
        <x:v/>
      </x:c>
      <x:c r="P81" s="460"/>
      <x:c r="Q81" s="461">
        <x:f t="shared" si="58"/>
        <x:v>0</x:v>
      </x:c>
      <x:c r="R81" s="462"/>
      <x:c r="S81" s="463">
        <x:f t="shared" si="59"/>
        <x:v>0</x:v>
      </x:c>
      <x:c r="T81" s="162" t="str">
        <x:f t="shared" si="60"/>
        <x:v>X</x:v>
      </x:c>
      <x:c r="U81" s="552"/>
      <x:c r="V81" s="331"/>
      <x:c r="W81" s="221"/>
      <x:c r="X81" s="223"/>
      <x:c r="Y81" s="334"/>
      <x:c r="Z81" s="334"/>
      <x:c r="AA81" s="29"/>
      <x:c r="AB81" s="486">
        <x:f t="shared" si="65"/>
        <x:v>0</x:v>
      </x:c>
      <x:c r="AC81" s="487">
        <x:f t="shared" si="61"/>
        <x:v>0</x:v>
      </x:c>
      <x:c r="AD81" s="487">
        <x:f t="shared" si="66"/>
        <x:v>0</x:v>
      </x:c>
      <x:c r="AE81" s="487">
        <x:f t="shared" si="67"/>
        <x:v>0</x:v>
      </x:c>
      <x:c r="AF81" s="374" t="str">
        <x:f t="shared" si="68"/>
        <x:v/>
      </x:c>
      <x:c r="AG81" s="93"/>
      <x:c r="AH81" s="488">
        <x:f t="shared" si="69"/>
        <x:v>0</x:v>
      </x:c>
      <x:c r="AI81" s="487">
        <x:f t="shared" si="70"/>
        <x:v>0</x:v>
      </x:c>
      <x:c r="AJ81" s="487">
        <x:f t="shared" si="71"/>
        <x:v>0</x:v>
      </x:c>
      <x:c r="AK81" s="487">
        <x:f t="shared" si="72"/>
        <x:v>0</x:v>
      </x:c>
      <x:c r="AL81" s="374" t="str">
        <x:f t="shared" si="73"/>
        <x:v/>
      </x:c>
      <x:c r="AM81" s="92"/>
      <x:c r="AN81" s="221"/>
      <x:c r="AO81" s="374" t="str">
        <x:f>IF($AP81="","",IF($AN81="세입없음","OK",IF(OR($AP81="재원확인",$AN81=""),"@@",IF(COUNTIF('3. 일입'!$AK$8:$AK$2000,$AN81),"OK","@@"))))</x:f>
        <x:v/>
      </x:c>
      <x:c r="AP81" s="356" t="str">
        <x:f t="shared" si="74"/>
        <x:v/>
      </x:c>
      <x:c r="AQ81" s="374" t="str">
        <x:f>IF(AND($AN81="",$AP81=""),"",IF(AND($AN81&lt;&gt;"",$AP81&lt;&gt;""),IF(AN81="세입없음","OK",IF(VLOOKUP($AN81,'3. 일입'!$AK$7:$AL$2000,2,FALSE)=$AP81,"OK","@@")),"@@"))</x:f>
        <x:v/>
      </x:c>
      <x:c r="AR81" s="93"/>
      <x:c r="AS81" s="533"/>
      <x:c r="AT81" s="374" t="str">
        <x:f>IF($AS81="","",IF($AS81="세입없음","OK",IF(COUNTIF('3. 일입'!$AN$8:$AN$2000,$AS81),"OK","@@")))</x:f>
        <x:v/>
      </x:c>
      <x:c r="AU81" s="356" t="str">
        <x:f t="shared" si="75"/>
        <x:v/>
      </x:c>
      <x:c r="AV81" s="374" t="str">
        <x:f t="shared" si="76"/>
        <x:v/>
      </x:c>
      <x:c r="AW81" s="93"/>
      <x:c r="AX81" s="348"/>
      <x:c r="AY81" s="29"/>
    </x:row>
    <x:row r="82" spans="1:51" s="20" customFormat="1" ht="80.099999999999994" customHeight="1">
      <x:c r="A82" s="155" t="str">
        <x:f>IF(D82="","",COUNTA($C$7:C82)-COUNTBLANK($C$7:C82)+5)</x:f>
        <x:v/>
      </x:c>
      <x:c r="B82" s="156" t="str">
        <x: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x:f>
        <x:v/>
      </x:c>
      <x:c r="C82" s="156" t="str">
        <x:f>IF(D82="","",IF(OR(D82="교육지원과",D82="총무과",D82="인사과"),"직접입력",VLOOKUP(D82,구분표!$A$3:$C$258,3,)))</x:f>
        <x:v/>
      </x:c>
      <x:c r="D82" s="219"/>
      <x:c r="E82" s="213"/>
      <x:c r="F82" s="388" t="str">
        <x:f t="shared" si="62"/>
        <x:v/>
      </x:c>
      <x:c r="G82" s="388" t="str">
        <x:f t="shared" si="62"/>
        <x:v/>
      </x:c>
      <x:c r="H82" s="213"/>
      <x:c r="I82" s="156" t="str">
        <x:f>IF(H82="","",VLOOKUP($H82,구분표!$K$3:$M$151,2,FALSE))</x:f>
        <x:v/>
      </x:c>
      <x:c r="J82" s="156" t="str">
        <x:f>IF(I82="","",VLOOKUP($H82,구분표!$K$3:$M$151,3,FALSE))</x:f>
        <x:v/>
      </x:c>
      <x:c r="K82" s="233"/>
      <x:c r="L82" s="233"/>
      <x:c r="M82" s="459" t="str">
        <x:f t="shared" si="63"/>
        <x:v/>
      </x:c>
      <x:c r="N82" s="459" t="str">
        <x:f t="shared" si="64"/>
        <x:v/>
      </x:c>
      <x:c r="O82" s="461" t="str">
        <x:f t="shared" si="57"/>
        <x:v/>
      </x:c>
      <x:c r="P82" s="460"/>
      <x:c r="Q82" s="461">
        <x:f t="shared" si="58"/>
        <x:v>0</x:v>
      </x:c>
      <x:c r="R82" s="462"/>
      <x:c r="S82" s="463">
        <x:f t="shared" si="59"/>
        <x:v>0</x:v>
      </x:c>
      <x:c r="T82" s="162" t="str">
        <x:f t="shared" si="60"/>
        <x:v>X</x:v>
      </x:c>
      <x:c r="U82" s="552"/>
      <x:c r="V82" s="331"/>
      <x:c r="W82" s="221"/>
      <x:c r="X82" s="223"/>
      <x:c r="Y82" s="334"/>
      <x:c r="Z82" s="334"/>
      <x:c r="AA82" s="29"/>
      <x:c r="AB82" s="486">
        <x:f t="shared" si="65"/>
        <x:v>0</x:v>
      </x:c>
      <x:c r="AC82" s="487">
        <x:f t="shared" si="61"/>
        <x:v>0</x:v>
      </x:c>
      <x:c r="AD82" s="487">
        <x:f t="shared" si="66"/>
        <x:v>0</x:v>
      </x:c>
      <x:c r="AE82" s="487">
        <x:f t="shared" si="67"/>
        <x:v>0</x:v>
      </x:c>
      <x:c r="AF82" s="374" t="str">
        <x:f t="shared" si="68"/>
        <x:v/>
      </x:c>
      <x:c r="AG82" s="93"/>
      <x:c r="AH82" s="488">
        <x:f t="shared" si="69"/>
        <x:v>0</x:v>
      </x:c>
      <x:c r="AI82" s="487">
        <x:f t="shared" si="70"/>
        <x:v>0</x:v>
      </x:c>
      <x:c r="AJ82" s="487">
        <x:f t="shared" si="71"/>
        <x:v>0</x:v>
      </x:c>
      <x:c r="AK82" s="487">
        <x:f t="shared" si="72"/>
        <x:v>0</x:v>
      </x:c>
      <x:c r="AL82" s="374" t="str">
        <x:f t="shared" si="73"/>
        <x:v/>
      </x:c>
      <x:c r="AM82" s="92"/>
      <x:c r="AN82" s="221"/>
      <x:c r="AO82" s="374" t="str">
        <x:f>IF($AP82="","",IF($AN82="세입없음","OK",IF(OR($AP82="재원확인",$AN82=""),"@@",IF(COUNTIF('3. 일입'!$AK$8:$AK$2000,$AN82),"OK","@@"))))</x:f>
        <x:v/>
      </x:c>
      <x:c r="AP82" s="356" t="str">
        <x:f t="shared" si="74"/>
        <x:v/>
      </x:c>
      <x:c r="AQ82" s="374" t="str">
        <x:f>IF(AND($AN82="",$AP82=""),"",IF(AND($AN82&lt;&gt;"",$AP82&lt;&gt;""),IF(AN82="세입없음","OK",IF(VLOOKUP($AN82,'3. 일입'!$AK$7:$AL$2000,2,FALSE)=$AP82,"OK","@@")),"@@"))</x:f>
        <x:v/>
      </x:c>
      <x:c r="AR82" s="93"/>
      <x:c r="AS82" s="533"/>
      <x:c r="AT82" s="374" t="str">
        <x:f>IF($AS82="","",IF($AS82="세입없음","OK",IF(COUNTIF('3. 일입'!$AN$8:$AN$2000,$AS82),"OK","@@")))</x:f>
        <x:v/>
      </x:c>
      <x:c r="AU82" s="356" t="str">
        <x:f t="shared" si="75"/>
        <x:v/>
      </x:c>
      <x:c r="AV82" s="374" t="str">
        <x:f t="shared" si="76"/>
        <x:v/>
      </x:c>
      <x:c r="AW82" s="93"/>
      <x:c r="AX82" s="348"/>
      <x:c r="AY82" s="29"/>
    </x:row>
    <x:row r="83" spans="1:51" s="20" customFormat="1" ht="80.099999999999994" customHeight="1">
      <x:c r="A83" s="155" t="str">
        <x:f>IF(D83="","",COUNTA($C$7:C83)-COUNTBLANK($C$7:C83)+5)</x:f>
        <x:v/>
      </x:c>
      <x:c r="B83" s="156" t="str">
        <x: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x:f>
        <x:v/>
      </x:c>
      <x:c r="C83" s="156" t="str">
        <x:f>IF(D83="","",IF(OR(D83="교육지원과",D83="총무과",D83="인사과"),"직접입력",VLOOKUP(D83,구분표!$A$3:$C$258,3,)))</x:f>
        <x:v/>
      </x:c>
      <x:c r="D83" s="219"/>
      <x:c r="E83" s="213"/>
      <x:c r="F83" s="388" t="str">
        <x:f t="shared" si="62"/>
        <x:v/>
      </x:c>
      <x:c r="G83" s="388" t="str">
        <x:f t="shared" si="62"/>
        <x:v/>
      </x:c>
      <x:c r="H83" s="213"/>
      <x:c r="I83" s="156" t="str">
        <x:f>IF(H83="","",VLOOKUP($H83,구분표!$K$3:$M$151,2,FALSE))</x:f>
        <x:v/>
      </x:c>
      <x:c r="J83" s="156" t="str">
        <x:f>IF(I83="","",VLOOKUP($H83,구분표!$K$3:$M$151,3,FALSE))</x:f>
        <x:v/>
      </x:c>
      <x:c r="K83" s="233"/>
      <x:c r="L83" s="233"/>
      <x:c r="M83" s="459" t="str">
        <x:f t="shared" si="63"/>
        <x:v/>
      </x:c>
      <x:c r="N83" s="459" t="str">
        <x:f t="shared" si="64"/>
        <x:v/>
      </x:c>
      <x:c r="O83" s="461" t="str">
        <x:f t="shared" si="57"/>
        <x:v/>
      </x:c>
      <x:c r="P83" s="460"/>
      <x:c r="Q83" s="461">
        <x:f t="shared" si="58"/>
        <x:v>0</x:v>
      </x:c>
      <x:c r="R83" s="462"/>
      <x:c r="S83" s="463">
        <x:f t="shared" si="59"/>
        <x:v>0</x:v>
      </x:c>
      <x:c r="T83" s="162" t="str">
        <x:f t="shared" si="60"/>
        <x:v>X</x:v>
      </x:c>
      <x:c r="U83" s="552"/>
      <x:c r="V83" s="331"/>
      <x:c r="W83" s="221"/>
      <x:c r="X83" s="223"/>
      <x:c r="Y83" s="334"/>
      <x:c r="Z83" s="334"/>
      <x:c r="AA83" s="29"/>
      <x:c r="AB83" s="486">
        <x:f t="shared" si="65"/>
        <x:v>0</x:v>
      </x:c>
      <x:c r="AC83" s="487">
        <x:f t="shared" si="61"/>
        <x:v>0</x:v>
      </x:c>
      <x:c r="AD83" s="487">
        <x:f t="shared" si="66"/>
        <x:v>0</x:v>
      </x:c>
      <x:c r="AE83" s="487">
        <x:f t="shared" si="67"/>
        <x:v>0</x:v>
      </x:c>
      <x:c r="AF83" s="374" t="str">
        <x:f t="shared" si="68"/>
        <x:v/>
      </x:c>
      <x:c r="AG83" s="93"/>
      <x:c r="AH83" s="488">
        <x:f t="shared" si="69"/>
        <x:v>0</x:v>
      </x:c>
      <x:c r="AI83" s="487">
        <x:f t="shared" si="70"/>
        <x:v>0</x:v>
      </x:c>
      <x:c r="AJ83" s="487">
        <x:f t="shared" si="71"/>
        <x:v>0</x:v>
      </x:c>
      <x:c r="AK83" s="487">
        <x:f t="shared" si="72"/>
        <x:v>0</x:v>
      </x:c>
      <x:c r="AL83" s="374" t="str">
        <x:f t="shared" si="73"/>
        <x:v/>
      </x:c>
      <x:c r="AM83" s="92"/>
      <x:c r="AN83" s="221"/>
      <x:c r="AO83" s="374" t="str">
        <x:f>IF($AP83="","",IF($AN83="세입없음","OK",IF(OR($AP83="재원확인",$AN83=""),"@@",IF(COUNTIF('3. 일입'!$AK$8:$AK$2000,$AN83),"OK","@@"))))</x:f>
        <x:v/>
      </x:c>
      <x:c r="AP83" s="356" t="str">
        <x:f t="shared" si="74"/>
        <x:v/>
      </x:c>
      <x:c r="AQ83" s="374" t="str">
        <x:f>IF(AND($AN83="",$AP83=""),"",IF(AND($AN83&lt;&gt;"",$AP83&lt;&gt;""),IF(AN83="세입없음","OK",IF(VLOOKUP($AN83,'3. 일입'!$AK$7:$AL$2000,2,FALSE)=$AP83,"OK","@@")),"@@"))</x:f>
        <x:v/>
      </x:c>
      <x:c r="AR83" s="93"/>
      <x:c r="AS83" s="533"/>
      <x:c r="AT83" s="374" t="str">
        <x:f>IF($AS83="","",IF($AS83="세입없음","OK",IF(COUNTIF('3. 일입'!$AN$8:$AN$2000,$AS83),"OK","@@")))</x:f>
        <x:v/>
      </x:c>
      <x:c r="AU83" s="356" t="str">
        <x:f t="shared" si="75"/>
        <x:v/>
      </x:c>
      <x:c r="AV83" s="374" t="str">
        <x:f t="shared" si="76"/>
        <x:v/>
      </x:c>
      <x:c r="AW83" s="93"/>
      <x:c r="AX83" s="348"/>
      <x:c r="AY83" s="29"/>
    </x:row>
    <x:row r="84" spans="1:51" s="20" customFormat="1" ht="80.099999999999994" customHeight="1">
      <x:c r="A84" s="155" t="str">
        <x:f>IF(D84="","",COUNTA($C$7:C84)-COUNTBLANK($C$7:C84)+5)</x:f>
        <x:v/>
      </x:c>
      <x:c r="B84" s="156" t="str">
        <x: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x:f>
        <x:v/>
      </x:c>
      <x:c r="C84" s="156" t="str">
        <x:f>IF(D84="","",IF(OR(D84="교육지원과",D84="총무과",D84="인사과"),"직접입력",VLOOKUP(D84,구분표!$A$3:$C$258,3,)))</x:f>
        <x:v/>
      </x:c>
      <x:c r="D84" s="219"/>
      <x:c r="E84" s="213"/>
      <x:c r="F84" s="388" t="str">
        <x:f t="shared" si="62"/>
        <x:v/>
      </x:c>
      <x:c r="G84" s="388" t="str">
        <x:f t="shared" si="62"/>
        <x:v/>
      </x:c>
      <x:c r="H84" s="213"/>
      <x:c r="I84" s="156" t="str">
        <x:f>IF(H84="","",VLOOKUP($H84,구분표!$K$3:$M$151,2,FALSE))</x:f>
        <x:v/>
      </x:c>
      <x:c r="J84" s="156" t="str">
        <x:f>IF(I84="","",VLOOKUP($H84,구분표!$K$3:$M$151,3,FALSE))</x:f>
        <x:v/>
      </x:c>
      <x:c r="K84" s="233"/>
      <x:c r="L84" s="233"/>
      <x:c r="M84" s="459" t="str">
        <x:f t="shared" si="63"/>
        <x:v/>
      </x:c>
      <x:c r="N84" s="459" t="str">
        <x:f t="shared" si="64"/>
        <x:v/>
      </x:c>
      <x:c r="O84" s="461" t="str">
        <x:f t="shared" si="57"/>
        <x:v/>
      </x:c>
      <x:c r="P84" s="460"/>
      <x:c r="Q84" s="461">
        <x:f t="shared" si="58"/>
        <x:v>0</x:v>
      </x:c>
      <x:c r="R84" s="462"/>
      <x:c r="S84" s="463">
        <x:f t="shared" si="59"/>
        <x:v>0</x:v>
      </x:c>
      <x:c r="T84" s="162" t="str">
        <x:f t="shared" si="60"/>
        <x:v>X</x:v>
      </x:c>
      <x:c r="U84" s="552"/>
      <x:c r="V84" s="331"/>
      <x:c r="W84" s="221"/>
      <x:c r="X84" s="223"/>
      <x:c r="Y84" s="334"/>
      <x:c r="Z84" s="334"/>
      <x:c r="AA84" s="29"/>
      <x:c r="AB84" s="486">
        <x:f t="shared" si="65"/>
        <x:v>0</x:v>
      </x:c>
      <x:c r="AC84" s="487">
        <x:f t="shared" si="61"/>
        <x:v>0</x:v>
      </x:c>
      <x:c r="AD84" s="487">
        <x:f t="shared" si="66"/>
        <x:v>0</x:v>
      </x:c>
      <x:c r="AE84" s="487">
        <x:f t="shared" si="67"/>
        <x:v>0</x:v>
      </x:c>
      <x:c r="AF84" s="374" t="str">
        <x:f t="shared" si="68"/>
        <x:v/>
      </x:c>
      <x:c r="AG84" s="93"/>
      <x:c r="AH84" s="488">
        <x:f t="shared" si="69"/>
        <x:v>0</x:v>
      </x:c>
      <x:c r="AI84" s="487">
        <x:f t="shared" si="70"/>
        <x:v>0</x:v>
      </x:c>
      <x:c r="AJ84" s="487">
        <x:f t="shared" si="71"/>
        <x:v>0</x:v>
      </x:c>
      <x:c r="AK84" s="487">
        <x:f t="shared" si="72"/>
        <x:v>0</x:v>
      </x:c>
      <x:c r="AL84" s="374" t="str">
        <x:f t="shared" si="73"/>
        <x:v/>
      </x:c>
      <x:c r="AM84" s="92"/>
      <x:c r="AN84" s="221"/>
      <x:c r="AO84" s="374" t="str">
        <x:f>IF($AP84="","",IF($AN84="세입없음","OK",IF(OR($AP84="재원확인",$AN84=""),"@@",IF(COUNTIF('3. 일입'!$AK$8:$AK$2000,$AN84),"OK","@@"))))</x:f>
        <x:v/>
      </x:c>
      <x:c r="AP84" s="356" t="str">
        <x:f t="shared" si="74"/>
        <x:v/>
      </x:c>
      <x:c r="AQ84" s="374" t="str">
        <x:f>IF(AND($AN84="",$AP84=""),"",IF(AND($AN84&lt;&gt;"",$AP84&lt;&gt;""),IF(AN84="세입없음","OK",IF(VLOOKUP($AN84,'3. 일입'!$AK$7:$AL$2000,2,FALSE)=$AP84,"OK","@@")),"@@"))</x:f>
        <x:v/>
      </x:c>
      <x:c r="AR84" s="93"/>
      <x:c r="AS84" s="533"/>
      <x:c r="AT84" s="374" t="str">
        <x:f>IF($AS84="","",IF($AS84="세입없음","OK",IF(COUNTIF('3. 일입'!$AN$8:$AN$2000,$AS84),"OK","@@")))</x:f>
        <x:v/>
      </x:c>
      <x:c r="AU84" s="356" t="str">
        <x:f t="shared" si="75"/>
        <x:v/>
      </x:c>
      <x:c r="AV84" s="374" t="str">
        <x:f t="shared" si="76"/>
        <x:v/>
      </x:c>
      <x:c r="AW84" s="93"/>
      <x:c r="AX84" s="348"/>
      <x:c r="AY84" s="29"/>
    </x:row>
    <x:row r="85" spans="1:51" s="20" customFormat="1" ht="80.099999999999994" customHeight="1">
      <x:c r="A85" s="155" t="str">
        <x:f>IF(D85="","",COUNTA($C$7:C85)-COUNTBLANK($C$7:C85)+5)</x:f>
        <x:v/>
      </x:c>
      <x:c r="B85" s="156" t="str">
        <x: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x:f>
        <x:v/>
      </x:c>
      <x:c r="C85" s="156" t="str">
        <x:f>IF(D85="","",IF(OR(D85="교육지원과",D85="총무과",D85="인사과"),"직접입력",VLOOKUP(D85,구분표!$A$3:$C$258,3,)))</x:f>
        <x:v/>
      </x:c>
      <x:c r="D85" s="219"/>
      <x:c r="E85" s="213"/>
      <x:c r="F85" s="388" t="str">
        <x:f t="shared" si="62"/>
        <x:v/>
      </x:c>
      <x:c r="G85" s="388" t="str">
        <x:f t="shared" si="62"/>
        <x:v/>
      </x:c>
      <x:c r="H85" s="213"/>
      <x:c r="I85" s="156" t="str">
        <x:f>IF(H85="","",VLOOKUP($H85,구분표!$K$3:$M$151,2,FALSE))</x:f>
        <x:v/>
      </x:c>
      <x:c r="J85" s="156" t="str">
        <x:f>IF(I85="","",VLOOKUP($H85,구분표!$K$3:$M$151,3,FALSE))</x:f>
        <x:v/>
      </x:c>
      <x:c r="K85" s="233"/>
      <x:c r="L85" s="233"/>
      <x:c r="M85" s="459" t="str">
        <x:f t="shared" si="63"/>
        <x:v/>
      </x:c>
      <x:c r="N85" s="459" t="str">
        <x:f t="shared" si="64"/>
        <x:v/>
      </x:c>
      <x:c r="O85" s="461" t="str">
        <x:f t="shared" si="57"/>
        <x:v/>
      </x:c>
      <x:c r="P85" s="460"/>
      <x:c r="Q85" s="461">
        <x:f t="shared" si="58"/>
        <x:v>0</x:v>
      </x:c>
      <x:c r="R85" s="462"/>
      <x:c r="S85" s="463">
        <x:f t="shared" si="59"/>
        <x:v>0</x:v>
      </x:c>
      <x:c r="T85" s="162" t="str">
        <x:f t="shared" si="60"/>
        <x:v>X</x:v>
      </x:c>
      <x:c r="U85" s="552"/>
      <x:c r="V85" s="331"/>
      <x:c r="W85" s="221"/>
      <x:c r="X85" s="223"/>
      <x:c r="Y85" s="334"/>
      <x:c r="Z85" s="334"/>
      <x:c r="AA85" s="29"/>
      <x:c r="AB85" s="486">
        <x:f t="shared" si="65"/>
        <x:v>0</x:v>
      </x:c>
      <x:c r="AC85" s="487">
        <x:f t="shared" si="61"/>
        <x:v>0</x:v>
      </x:c>
      <x:c r="AD85" s="487">
        <x:f t="shared" si="66"/>
        <x:v>0</x:v>
      </x:c>
      <x:c r="AE85" s="487">
        <x:f t="shared" si="67"/>
        <x:v>0</x:v>
      </x:c>
      <x:c r="AF85" s="374" t="str">
        <x:f t="shared" si="68"/>
        <x:v/>
      </x:c>
      <x:c r="AG85" s="93"/>
      <x:c r="AH85" s="488">
        <x:f t="shared" si="69"/>
        <x:v>0</x:v>
      </x:c>
      <x:c r="AI85" s="487">
        <x:f t="shared" si="70"/>
        <x:v>0</x:v>
      </x:c>
      <x:c r="AJ85" s="487">
        <x:f t="shared" si="71"/>
        <x:v>0</x:v>
      </x:c>
      <x:c r="AK85" s="487">
        <x:f t="shared" si="72"/>
        <x:v>0</x:v>
      </x:c>
      <x:c r="AL85" s="374" t="str">
        <x:f t="shared" si="73"/>
        <x:v/>
      </x:c>
      <x:c r="AM85" s="92"/>
      <x:c r="AN85" s="221"/>
      <x:c r="AO85" s="374" t="str">
        <x:f>IF($AP85="","",IF($AN85="세입없음","OK",IF(OR($AP85="재원확인",$AN85=""),"@@",IF(COUNTIF('3. 일입'!$AK$8:$AK$2000,$AN85),"OK","@@"))))</x:f>
        <x:v/>
      </x:c>
      <x:c r="AP85" s="356" t="str">
        <x:f t="shared" si="74"/>
        <x:v/>
      </x:c>
      <x:c r="AQ85" s="374" t="str">
        <x:f>IF(AND($AN85="",$AP85=""),"",IF(AND($AN85&lt;&gt;"",$AP85&lt;&gt;""),IF(AN85="세입없음","OK",IF(VLOOKUP($AN85,'3. 일입'!$AK$7:$AL$2000,2,FALSE)=$AP85,"OK","@@")),"@@"))</x:f>
        <x:v/>
      </x:c>
      <x:c r="AR85" s="93"/>
      <x:c r="AS85" s="533"/>
      <x:c r="AT85" s="374" t="str">
        <x:f>IF($AS85="","",IF($AS85="세입없음","OK",IF(COUNTIF('3. 일입'!$AN$8:$AN$2000,$AS85),"OK","@@")))</x:f>
        <x:v/>
      </x:c>
      <x:c r="AU85" s="356" t="str">
        <x:f t="shared" si="75"/>
        <x:v/>
      </x:c>
      <x:c r="AV85" s="374" t="str">
        <x:f t="shared" si="76"/>
        <x:v/>
      </x:c>
      <x:c r="AW85" s="93"/>
      <x:c r="AX85" s="348"/>
      <x:c r="AY85" s="29"/>
    </x:row>
    <x:row r="86" spans="1:51" s="20" customFormat="1" ht="80.099999999999994" customHeight="1">
      <x:c r="A86" s="155" t="str">
        <x:f>IF(D86="","",COUNTA($C$7:C86)-COUNTBLANK($C$7:C86)+5)</x:f>
        <x:v/>
      </x:c>
      <x:c r="B86" s="156" t="str">
        <x: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x:f>
        <x:v/>
      </x:c>
      <x:c r="C86" s="156" t="str">
        <x:f>IF(D86="","",IF(OR(D86="교육지원과",D86="총무과",D86="인사과"),"직접입력",VLOOKUP(D86,구분표!$A$3:$C$258,3,)))</x:f>
        <x:v/>
      </x:c>
      <x:c r="D86" s="219"/>
      <x:c r="E86" s="213"/>
      <x:c r="F86" s="388" t="str">
        <x:f t="shared" si="62"/>
        <x:v/>
      </x:c>
      <x:c r="G86" s="388" t="str">
        <x:f t="shared" si="62"/>
        <x:v/>
      </x:c>
      <x:c r="H86" s="213"/>
      <x:c r="I86" s="156" t="str">
        <x:f>IF(H86="","",VLOOKUP($H86,구분표!$K$3:$M$151,2,FALSE))</x:f>
        <x:v/>
      </x:c>
      <x:c r="J86" s="156" t="str">
        <x:f>IF(I86="","",VLOOKUP($H86,구분표!$K$3:$M$151,3,FALSE))</x:f>
        <x:v/>
      </x:c>
      <x:c r="K86" s="233"/>
      <x:c r="L86" s="233"/>
      <x:c r="M86" s="459" t="str">
        <x:f t="shared" si="63"/>
        <x:v/>
      </x:c>
      <x:c r="N86" s="459" t="str">
        <x:f t="shared" si="64"/>
        <x:v/>
      </x:c>
      <x:c r="O86" s="461" t="str">
        <x:f t="shared" si="57"/>
        <x:v/>
      </x:c>
      <x:c r="P86" s="460"/>
      <x:c r="Q86" s="461">
        <x:f t="shared" si="58"/>
        <x:v>0</x:v>
      </x:c>
      <x:c r="R86" s="462"/>
      <x:c r="S86" s="463">
        <x:f t="shared" si="59"/>
        <x:v>0</x:v>
      </x:c>
      <x:c r="T86" s="162" t="str">
        <x:f t="shared" si="60"/>
        <x:v>X</x:v>
      </x:c>
      <x:c r="U86" s="552"/>
      <x:c r="V86" s="331"/>
      <x:c r="W86" s="221"/>
      <x:c r="X86" s="223"/>
      <x:c r="Y86" s="334"/>
      <x:c r="Z86" s="334"/>
      <x:c r="AA86" s="29"/>
      <x:c r="AB86" s="486">
        <x:f t="shared" si="65"/>
        <x:v>0</x:v>
      </x:c>
      <x:c r="AC86" s="487">
        <x:f t="shared" si="61"/>
        <x:v>0</x:v>
      </x:c>
      <x:c r="AD86" s="487">
        <x:f t="shared" si="66"/>
        <x:v>0</x:v>
      </x:c>
      <x:c r="AE86" s="487">
        <x:f t="shared" si="67"/>
        <x:v>0</x:v>
      </x:c>
      <x:c r="AF86" s="374" t="str">
        <x:f t="shared" si="68"/>
        <x:v/>
      </x:c>
      <x:c r="AG86" s="93"/>
      <x:c r="AH86" s="488">
        <x:f t="shared" si="69"/>
        <x:v>0</x:v>
      </x:c>
      <x:c r="AI86" s="487">
        <x:f t="shared" si="70"/>
        <x:v>0</x:v>
      </x:c>
      <x:c r="AJ86" s="487">
        <x:f t="shared" si="71"/>
        <x:v>0</x:v>
      </x:c>
      <x:c r="AK86" s="487">
        <x:f t="shared" si="72"/>
        <x:v>0</x:v>
      </x:c>
      <x:c r="AL86" s="374" t="str">
        <x:f t="shared" si="73"/>
        <x:v/>
      </x:c>
      <x:c r="AM86" s="92"/>
      <x:c r="AN86" s="221"/>
      <x:c r="AO86" s="374" t="str">
        <x:f>IF($AP86="","",IF($AN86="세입없음","OK",IF(OR($AP86="재원확인",$AN86=""),"@@",IF(COUNTIF('3. 일입'!$AK$8:$AK$2000,$AN86),"OK","@@"))))</x:f>
        <x:v/>
      </x:c>
      <x:c r="AP86" s="356" t="str">
        <x:f t="shared" si="74"/>
        <x:v/>
      </x:c>
      <x:c r="AQ86" s="374" t="str">
        <x:f>IF(AND($AN86="",$AP86=""),"",IF(AND($AN86&lt;&gt;"",$AP86&lt;&gt;""),IF(AN86="세입없음","OK",IF(VLOOKUP($AN86,'3. 일입'!$AK$7:$AL$2000,2,FALSE)=$AP86,"OK","@@")),"@@"))</x:f>
        <x:v/>
      </x:c>
      <x:c r="AR86" s="93"/>
      <x:c r="AS86" s="533"/>
      <x:c r="AT86" s="374" t="str">
        <x:f>IF($AS86="","",IF($AS86="세입없음","OK",IF(COUNTIF('3. 일입'!$AN$8:$AN$2000,$AS86),"OK","@@")))</x:f>
        <x:v/>
      </x:c>
      <x:c r="AU86" s="356" t="str">
        <x:f t="shared" si="75"/>
        <x:v/>
      </x:c>
      <x:c r="AV86" s="374" t="str">
        <x:f t="shared" si="76"/>
        <x:v/>
      </x:c>
      <x:c r="AW86" s="93"/>
      <x:c r="AX86" s="348"/>
      <x:c r="AY86" s="29"/>
    </x:row>
    <x:row r="87" spans="1:51" s="345" customFormat="1" ht="60" customHeight="1">
      <x:c r="A87" s="337"/>
      <x:c r="B87" s="979" t="s">
        <x:v>1516</x:v>
      </x:c>
      <x:c r="C87" s="979"/>
      <x:c r="D87" s="979"/>
      <x:c r="E87" s="979"/>
      <x:c r="F87" s="979"/>
      <x:c r="G87" s="979"/>
      <x:c r="H87" s="338"/>
      <x:c r="I87" s="359"/>
      <x:c r="J87" s="359"/>
      <x:c r="K87" s="339"/>
      <x:c r="L87" s="340" t="str">
        <x:f>SUBTOTAL(3,$L88:$L102)&amp;"건"</x:f>
        <x:v>0건</x:v>
      </x:c>
      <x:c r="M87" s="476">
        <x:f t="shared" ref="M87:N87" si="77">SUBTOTAL(9,M88:M102)</x:f>
        <x:v>0</x:v>
      </x:c>
      <x:c r="N87" s="476">
        <x:f t="shared" si="77"/>
        <x:v>0</x:v>
      </x:c>
      <x:c r="O87" s="482">
        <x:f t="shared" ref="O87:S87" si="78">SUBTOTAL(9,O88:O102)</x:f>
        <x:v>0</x:v>
      </x:c>
      <x:c r="P87" s="482">
        <x:f t="shared" si="78"/>
        <x:v>0</x:v>
      </x:c>
      <x:c r="Q87" s="482">
        <x:f t="shared" si="78"/>
        <x:v>0</x:v>
      </x:c>
      <x:c r="R87" s="482">
        <x:f t="shared" si="78"/>
        <x:v>0</x:v>
      </x:c>
      <x:c r="S87" s="482">
        <x:f t="shared" si="78"/>
        <x:v>0</x:v>
      </x:c>
      <x:c r="T87" s="337"/>
      <x:c r="U87" s="551"/>
      <x:c r="V87" s="341"/>
      <x:c r="W87" s="342"/>
      <x:c r="X87" s="343"/>
      <x:c r="Y87" s="343"/>
      <x:c r="Z87" s="343"/>
      <x:c r="AA87" s="344"/>
      <x:c r="AB87" s="483">
        <x:f>SUBTOTAL(9,AB88:AB102)</x:f>
        <x:v>0</x:v>
      </x:c>
      <x:c r="AC87" s="483">
        <x:f>SUBTOTAL(9,AC88:AC102)</x:f>
        <x:v>0</x:v>
      </x:c>
      <x:c r="AD87" s="483">
        <x:f>SUBTOTAL(9,AD88:AD102)</x:f>
        <x:v>0</x:v>
      </x:c>
      <x:c r="AE87" s="483">
        <x:f>SUBTOTAL(9,AE88:AE102)</x:f>
        <x:v>0</x:v>
      </x:c>
      <x:c r="AF87" s="554" t="str">
        <x:f>IF(COUNTIF(AF88:AF102,"@@")&gt;0,"@@","OK")</x:f>
        <x:v>OK</x:v>
      </x:c>
      <x:c r="AG87" s="344"/>
      <x:c r="AH87" s="483">
        <x:f>SUBTOTAL(9,AH88:AH102)</x:f>
        <x:v>0</x:v>
      </x:c>
      <x:c r="AI87" s="483">
        <x:f>SUBTOTAL(9,AI88:AI102)</x:f>
        <x:v>0</x:v>
      </x:c>
      <x:c r="AJ87" s="483">
        <x:f>SUBTOTAL(9,AJ88:AJ102)</x:f>
        <x:v>0</x:v>
      </x:c>
      <x:c r="AK87" s="483">
        <x:f>SUBTOTAL(9,AK88:AK102)</x:f>
        <x:v>0</x:v>
      </x:c>
      <x:c r="AL87" s="554" t="str">
        <x:f>IF(COUNTIF(AL88:AL102,"@@")&gt;0,"@@","OK")</x:f>
        <x:v>OK</x:v>
      </x:c>
      <x:c r="AM87" s="344"/>
      <x:c r="AN87" s="343"/>
      <x:c r="AO87" s="554" t="str">
        <x:f>IF(COUNTIF(AO88:AO102,"@@")&gt;0,"@@","OK")</x:f>
        <x:v>OK</x:v>
      </x:c>
      <x:c r="AP87" s="343"/>
      <x:c r="AQ87" s="554" t="str">
        <x:f>IF(COUNTIF(AQ88:AQ102,"@@")&gt;0,"@@","OK")</x:f>
        <x:v>OK</x:v>
      </x:c>
      <x:c r="AR87" s="344"/>
      <x:c r="AS87" s="343"/>
      <x:c r="AT87" s="554" t="str">
        <x:f>IF(COUNTIF(AT88:AT102,"@@")&gt;0,"@@","OK")</x:f>
        <x:v>OK</x:v>
      </x:c>
      <x:c r="AU87" s="343"/>
      <x:c r="AV87" s="554" t="str">
        <x:f>IF(COUNTIF(AV88:AV102,"@@")&gt;0,"@@","OK")</x:f>
        <x:v>OK</x:v>
      </x:c>
      <x:c r="AW87" s="344"/>
      <x:c r="AX87" s="343"/>
      <x:c r="AY87" s="344"/>
    </x:row>
    <x:row r="88" spans="1:51" ht="80.099999999999994" customHeight="1">
      <x:c r="A88" s="155" t="str">
        <x:f>IF(D88="","",COUNTA($C$7:C88)-COUNTBLANK($C$7:C88)+6)</x:f>
        <x:v/>
      </x:c>
      <x:c r="B88" s="156" t="str">
        <x: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x:f>
        <x:v/>
      </x:c>
      <x:c r="C88" s="156" t="str">
        <x:f>IF(D88="","",IF(OR(D88="교육지원과",D88="총무과",D88="인사과"),"직접입력",VLOOKUP(D88,구분표!$A$3:$C$258,3,)))</x:f>
        <x:v/>
      </x:c>
      <x:c r="D88" s="219"/>
      <x:c r="E88" s="213"/>
      <x:c r="F88" s="388" t="str">
        <x:f>IF($E88="","",IF($E88="2추","직접입력","-"))</x:f>
        <x:v/>
      </x:c>
      <x:c r="G88" s="388" t="str">
        <x:f>IF($E88="","",IF($E88="2추","직접입력","-"))</x:f>
        <x:v/>
      </x:c>
      <x:c r="H88" s="213"/>
      <x:c r="I88" s="156" t="str">
        <x:f>IF(H88="","",VLOOKUP($H88,구분표!$K$3:$M$151,2,FALSE))</x:f>
        <x:v/>
      </x:c>
      <x:c r="J88" s="156" t="str">
        <x:f>IF(I88="","",VLOOKUP($H88,구분표!$K$3:$M$151,3,FALSE))</x:f>
        <x:v/>
      </x:c>
      <x:c r="K88" s="233"/>
      <x:c r="L88" s="233"/>
      <x:c r="M88" s="459" t="str">
        <x:f>IF($E88="","",IF(OR($E88="2추",$E88="1추",$E88="본예산"),"금액입력","-"))</x:f>
        <x:v/>
      </x:c>
      <x:c r="N88" s="459" t="str">
        <x:f>IF($E88="","",IF($E88="2추","금액입력","-"))</x:f>
        <x:v/>
      </x:c>
      <x:c r="O88" s="461" t="str">
        <x:f t="shared" ref="O88:O102" si="79">IF($E88="","",SUM(M88:N88))</x:f>
        <x:v/>
      </x:c>
      <x:c r="P88" s="460"/>
      <x:c r="Q88" s="461">
        <x:f t="shared" ref="Q88:Q102" si="80">SUM(O88:P88)</x:f>
        <x:v>0</x:v>
      </x:c>
      <x:c r="R88" s="462"/>
      <x:c r="S88" s="463">
        <x:f t="shared" ref="S88:S102" si="81">SUM(O88,R88)</x:f>
        <x:v>0</x:v>
      </x:c>
      <x:c r="T88" s="162" t="str">
        <x:f t="shared" ref="T88:T102" si="82">IF(AND((Q88=0),(S88&gt;0)),"O",IF(AND((P88&lt;0),(Q88-S88&lt;0)),"O","X"))</x:f>
        <x:v>X</x:v>
      </x:c>
      <x:c r="U88" s="552"/>
      <x:c r="V88" s="331"/>
      <x:c r="W88" s="221"/>
      <x:c r="X88" s="223"/>
      <x:c r="Y88" s="334"/>
      <x:c r="Z88" s="334"/>
      <x:c r="AA88" s="29"/>
      <x:c r="AB88" s="486">
        <x:f t="shared" ref="AB88:AB102" si="83">IF($P88="",0,IF($P88&lt;&gt;0,"재원입력필요",0))</x:f>
        <x:v>0</x:v>
      </x:c>
      <x:c r="AC88" s="487">
        <x:f t="shared" ref="AC88:AC102" si="84">IF($P88="",0,IF(AND(ISNUMBER($AB88),ISNUMBER(AD88),ISNUMBER(AE88)),$P88-$AB88-$AD88-$AE88,0))</x:f>
        <x:v>0</x:v>
      </x:c>
      <x:c r="AD88" s="487">
        <x:f t="shared" ref="AD88:AD102" si="85">IF($P88="",0,IF(COUNT(FIND("(지방채)",$L88))&gt;0,"재원입력필요",0))</x:f>
        <x:v>0</x:v>
      </x:c>
      <x:c r="AE88" s="487">
        <x:f t="shared" ref="AE88:AE102" si="86">IF($P88="",0,IF(COUNT(FIND("(지역개발기금)",$L88))&gt;0,"재원입력필요",0))</x:f>
        <x:v>0</x:v>
      </x:c>
      <x:c r="AF88" s="374" t="str">
        <x:f t="shared" ref="AF88:AF102" si="87">IF($P88="",IF(SUM($AB88:$AE88)=0,"","@@"),IF(AND($P88=SUM($AB88:$AE88),$Q88&gt;=0),"OK","@@"))</x:f>
        <x:v/>
      </x:c>
      <x:c r="AG88" s="93"/>
      <x:c r="AH88" s="488">
        <x:f t="shared" ref="AH88:AH102" si="88">IF($R88="",0,IF($R88&lt;&gt;0,"재원입력필요",0))</x:f>
        <x:v>0</x:v>
      </x:c>
      <x:c r="AI88" s="487">
        <x:f t="shared" ref="AI88:AI102" si="89">IF($R88="",0,IF(AND(ISNUMBER($AH88),ISNUMBER($AJ88),ISNUMBER($AK88)),$R88-$AH88-$AJ88-$AK88,0))</x:f>
        <x:v>0</x:v>
      </x:c>
      <x:c r="AJ88" s="487">
        <x:f t="shared" ref="AJ88:AJ102" si="90">IF($R88="",0,IF(COUNT(FIND("(지방채)",$L88))&gt;0,"재원입력필요",0))</x:f>
        <x:v>0</x:v>
      </x:c>
      <x:c r="AK88" s="487">
        <x:f t="shared" ref="AK88:AK102" si="91">IF($R88="",0,IF(COUNT(FIND("(지역개발기금)",$L88))&gt;0,"재원입력필요",0))</x:f>
        <x:v>0</x:v>
      </x:c>
      <x:c r="AL88" s="374" t="str">
        <x:f t="shared" ref="AL88:AL102" si="92">IF($R88="",IF(SUM($AH88:$AK88)=0,"","@@"),IF(AND($R88=SUM($AH88:$AK88),$S88&gt;=0),"OK","@@"))</x:f>
        <x:v/>
      </x:c>
      <x:c r="AM88" s="92"/>
      <x:c r="AN88" s="221"/>
      <x:c r="AO88" s="374" t="str">
        <x:f>IF($AP88="","",IF($AN88="세입없음","OK",IF(OR($AP88="재원확인",$AN88=""),"@@",IF(COUNTIF('3. 일입'!$AK$8:$AK$2000,$AN88),"OK","@@"))))</x:f>
        <x:v/>
      </x:c>
      <x:c r="AP88" s="356" t="str">
        <x:f t="shared" ref="AP88:AP102" si="93">IF($K88="","",IF(COUNT(FIND("국비/",$K88)),"국비",IF(COUNT(FIND("균특/",$K88)),"균특",IF(COUNT(FIND("기금/",$K88)),"기금",IF(COUNT(FIND("교부세/",$K88)),"특교",IF(COUNT(FIND("소방안전/",$K88)),"소교",IF(COUNT(FIND("소멸대응/",$K88)),"소멸","재원확인")))))))</x:f>
        <x:v/>
      </x:c>
      <x:c r="AQ88" s="374" t="str">
        <x:f>IF(AND($AN88="",$AP88=""),"",IF(AND($AN88&lt;&gt;"",$AP88&lt;&gt;""),IF(AN88="세입없음","OK",IF(VLOOKUP($AN88,'3. 일입'!$AK$7:$AL$2000,2,FALSE)=$AP88,"OK","@@")),"@@"))</x:f>
        <x:v/>
      </x:c>
      <x:c r="AR88" s="93"/>
      <x:c r="AS88" s="533"/>
      <x:c r="AT88" s="374" t="str">
        <x:f>IF($AS88="","",IF($AS88="세입없음","OK",IF(COUNTIF('3. 일입'!$AN$8:$AN$2000,$AS88),"OK","@@")))</x:f>
        <x:v/>
      </x:c>
      <x:c r="AU88" s="356" t="str">
        <x:f t="shared" ref="AU88:AU102" si="94">IF($L88="","",IF(COUNT(FIND("(지역개발기금)",$L88)),"지역개발기금",IF(COUNT(FIND("지방채",$L88)),"지방채","자체")))</x:f>
        <x:v/>
      </x:c>
      <x:c r="AV88" s="374" t="str">
        <x:f t="shared" ref="AV88:AV102" si="95">IF($AS88="",IF($AU88="","",IF($AU88="자체","OK","@@")),IF($AS88="세입없음","OK",IF($AU88="","@@",IF(ISNUMBER(FIND($AU88,$AS88)),"OK","@@"))))</x:f>
        <x:v/>
      </x:c>
      <x:c r="AW88" s="93"/>
      <x:c r="AX88" s="348"/>
      <x:c r="AY88" s="28"/>
    </x:row>
    <x:row r="89" spans="1:51" s="20" customFormat="1" ht="80.099999999999994" customHeight="1">
      <x:c r="A89" s="155" t="str">
        <x:f>IF(D89="","",COUNTA($C$7:C89)-COUNTBLANK($C$7:C89)+6)</x:f>
        <x:v/>
      </x:c>
      <x:c r="B89" s="156" t="str">
        <x: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x:f>
        <x:v/>
      </x:c>
      <x:c r="C89" s="156" t="str">
        <x:f>IF(D89="","",IF(OR(D89="교육지원과",D89="총무과",D89="인사과"),"직접입력",VLOOKUP(D89,구분표!$A$3:$C$258,3,)))</x:f>
        <x:v/>
      </x:c>
      <x:c r="D89" s="219"/>
      <x:c r="E89" s="213"/>
      <x:c r="F89" s="388" t="str">
        <x:f t="shared" ref="F89:G102" si="96">IF($E89="","",IF($E89="2추","직접입력","-"))</x:f>
        <x:v/>
      </x:c>
      <x:c r="G89" s="388" t="str">
        <x:f t="shared" si="96"/>
        <x:v/>
      </x:c>
      <x:c r="H89" s="213"/>
      <x:c r="I89" s="156" t="str">
        <x:f>IF(H89="","",VLOOKUP($H89,구분표!$K$3:$M$151,2,FALSE))</x:f>
        <x:v/>
      </x:c>
      <x:c r="J89" s="156" t="str">
        <x:f>IF(I89="","",VLOOKUP($H89,구분표!$K$3:$M$151,3,FALSE))</x:f>
        <x:v/>
      </x:c>
      <x:c r="K89" s="233"/>
      <x:c r="L89" s="233"/>
      <x:c r="M89" s="459" t="str">
        <x:f t="shared" ref="M89:M102" si="97">IF($E89="","",IF(OR($E89="2추",$E89="1추",$E89="본예산"),"금액입력","-"))</x:f>
        <x:v/>
      </x:c>
      <x:c r="N89" s="459" t="str">
        <x:f t="shared" ref="N89:N102" si="98">IF($E89="","",IF($E89="2추","금액입력","-"))</x:f>
        <x:v/>
      </x:c>
      <x:c r="O89" s="461" t="str">
        <x:f t="shared" si="79"/>
        <x:v/>
      </x:c>
      <x:c r="P89" s="460"/>
      <x:c r="Q89" s="461">
        <x:f t="shared" si="80"/>
        <x:v>0</x:v>
      </x:c>
      <x:c r="R89" s="462"/>
      <x:c r="S89" s="463">
        <x:f t="shared" si="81"/>
        <x:v>0</x:v>
      </x:c>
      <x:c r="T89" s="162" t="str">
        <x:f t="shared" si="82"/>
        <x:v>X</x:v>
      </x:c>
      <x:c r="U89" s="552"/>
      <x:c r="V89" s="331"/>
      <x:c r="W89" s="221"/>
      <x:c r="X89" s="223"/>
      <x:c r="Y89" s="334"/>
      <x:c r="Z89" s="334"/>
      <x:c r="AA89" s="29"/>
      <x:c r="AB89" s="486">
        <x:f t="shared" si="83"/>
        <x:v>0</x:v>
      </x:c>
      <x:c r="AC89" s="487">
        <x:f t="shared" si="84"/>
        <x:v>0</x:v>
      </x:c>
      <x:c r="AD89" s="487">
        <x:f t="shared" si="85"/>
        <x:v>0</x:v>
      </x:c>
      <x:c r="AE89" s="487">
        <x:f t="shared" si="86"/>
        <x:v>0</x:v>
      </x:c>
      <x:c r="AF89" s="374" t="str">
        <x:f t="shared" si="87"/>
        <x:v/>
      </x:c>
      <x:c r="AG89" s="93"/>
      <x:c r="AH89" s="488">
        <x:f t="shared" si="88"/>
        <x:v>0</x:v>
      </x:c>
      <x:c r="AI89" s="487">
        <x:f t="shared" si="89"/>
        <x:v>0</x:v>
      </x:c>
      <x:c r="AJ89" s="487">
        <x:f t="shared" si="90"/>
        <x:v>0</x:v>
      </x:c>
      <x:c r="AK89" s="487">
        <x:f t="shared" si="91"/>
        <x:v>0</x:v>
      </x:c>
      <x:c r="AL89" s="374" t="str">
        <x:f t="shared" si="92"/>
        <x:v/>
      </x:c>
      <x:c r="AM89" s="92"/>
      <x:c r="AN89" s="221"/>
      <x:c r="AO89" s="374" t="str">
        <x:f>IF($AP89="","",IF($AN89="세입없음","OK",IF(OR($AP89="재원확인",$AN89=""),"@@",IF(COUNTIF('3. 일입'!$AK$8:$AK$2000,$AN89),"OK","@@"))))</x:f>
        <x:v/>
      </x:c>
      <x:c r="AP89" s="356" t="str">
        <x:f t="shared" si="93"/>
        <x:v/>
      </x:c>
      <x:c r="AQ89" s="374" t="str">
        <x:f>IF(AND($AN89="",$AP89=""),"",IF(AND($AN89&lt;&gt;"",$AP89&lt;&gt;""),IF(AN89="세입없음","OK",IF(VLOOKUP($AN89,'3. 일입'!$AK$7:$AL$2000,2,FALSE)=$AP89,"OK","@@")),"@@"))</x:f>
        <x:v/>
      </x:c>
      <x:c r="AR89" s="93"/>
      <x:c r="AS89" s="533"/>
      <x:c r="AT89" s="374" t="str">
        <x:f>IF($AS89="","",IF($AS89="세입없음","OK",IF(COUNTIF('3. 일입'!$AN$8:$AN$2000,$AS89),"OK","@@")))</x:f>
        <x:v/>
      </x:c>
      <x:c r="AU89" s="356" t="str">
        <x:f t="shared" si="94"/>
        <x:v/>
      </x:c>
      <x:c r="AV89" s="374" t="str">
        <x:f t="shared" si="95"/>
        <x:v/>
      </x:c>
      <x:c r="AW89" s="93"/>
      <x:c r="AX89" s="348"/>
      <x:c r="AY89" s="29"/>
    </x:row>
    <x:row r="90" spans="1:51" s="20" customFormat="1" ht="80.099999999999994" customHeight="1">
      <x:c r="A90" s="155" t="str">
        <x:f>IF(D90="","",COUNTA($C$7:C90)-COUNTBLANK($C$7:C90)+6)</x:f>
        <x:v/>
      </x:c>
      <x:c r="B90" s="156" t="str">
        <x: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x:f>
        <x:v/>
      </x:c>
      <x:c r="C90" s="156" t="str">
        <x:f>IF(D90="","",IF(OR(D90="교육지원과",D90="총무과",D90="인사과"),"직접입력",VLOOKUP(D90,구분표!$A$3:$C$258,3,)))</x:f>
        <x:v/>
      </x:c>
      <x:c r="D90" s="219"/>
      <x:c r="E90" s="213"/>
      <x:c r="F90" s="388" t="str">
        <x:f t="shared" si="96"/>
        <x:v/>
      </x:c>
      <x:c r="G90" s="388" t="str">
        <x:f t="shared" si="96"/>
        <x:v/>
      </x:c>
      <x:c r="H90" s="213"/>
      <x:c r="I90" s="156" t="str">
        <x:f>IF(H90="","",VLOOKUP($H90,구분표!$K$3:$M$151,2,FALSE))</x:f>
        <x:v/>
      </x:c>
      <x:c r="J90" s="156" t="str">
        <x:f>IF(I90="","",VLOOKUP($H90,구분표!$K$3:$M$151,3,FALSE))</x:f>
        <x:v/>
      </x:c>
      <x:c r="K90" s="233"/>
      <x:c r="L90" s="233"/>
      <x:c r="M90" s="459" t="str">
        <x:f t="shared" si="97"/>
        <x:v/>
      </x:c>
      <x:c r="N90" s="459" t="str">
        <x:f t="shared" si="98"/>
        <x:v/>
      </x:c>
      <x:c r="O90" s="461" t="str">
        <x:f t="shared" si="79"/>
        <x:v/>
      </x:c>
      <x:c r="P90" s="460"/>
      <x:c r="Q90" s="461">
        <x:f t="shared" si="80"/>
        <x:v>0</x:v>
      </x:c>
      <x:c r="R90" s="462"/>
      <x:c r="S90" s="463">
        <x:f t="shared" si="81"/>
        <x:v>0</x:v>
      </x:c>
      <x:c r="T90" s="162" t="str">
        <x:f t="shared" si="82"/>
        <x:v>X</x:v>
      </x:c>
      <x:c r="U90" s="552"/>
      <x:c r="V90" s="331"/>
      <x:c r="W90" s="221"/>
      <x:c r="X90" s="223"/>
      <x:c r="Y90" s="334"/>
      <x:c r="Z90" s="334"/>
      <x:c r="AA90" s="29"/>
      <x:c r="AB90" s="486">
        <x:f t="shared" si="83"/>
        <x:v>0</x:v>
      </x:c>
      <x:c r="AC90" s="487">
        <x:f t="shared" si="84"/>
        <x:v>0</x:v>
      </x:c>
      <x:c r="AD90" s="487">
        <x:f t="shared" si="85"/>
        <x:v>0</x:v>
      </x:c>
      <x:c r="AE90" s="487">
        <x:f t="shared" si="86"/>
        <x:v>0</x:v>
      </x:c>
      <x:c r="AF90" s="374" t="str">
        <x:f t="shared" si="87"/>
        <x:v/>
      </x:c>
      <x:c r="AG90" s="93"/>
      <x:c r="AH90" s="488">
        <x:f t="shared" si="88"/>
        <x:v>0</x:v>
      </x:c>
      <x:c r="AI90" s="487">
        <x:f t="shared" si="89"/>
        <x:v>0</x:v>
      </x:c>
      <x:c r="AJ90" s="487">
        <x:f t="shared" si="90"/>
        <x:v>0</x:v>
      </x:c>
      <x:c r="AK90" s="487">
        <x:f t="shared" si="91"/>
        <x:v>0</x:v>
      </x:c>
      <x:c r="AL90" s="374" t="str">
        <x:f t="shared" si="92"/>
        <x:v/>
      </x:c>
      <x:c r="AM90" s="92"/>
      <x:c r="AN90" s="221"/>
      <x:c r="AO90" s="374" t="str">
        <x:f>IF($AP90="","",IF($AN90="세입없음","OK",IF(OR($AP90="재원확인",$AN90=""),"@@",IF(COUNTIF('3. 일입'!$AK$8:$AK$2000,$AN90),"OK","@@"))))</x:f>
        <x:v/>
      </x:c>
      <x:c r="AP90" s="356" t="str">
        <x:f t="shared" si="93"/>
        <x:v/>
      </x:c>
      <x:c r="AQ90" s="374" t="str">
        <x:f>IF(AND($AN90="",$AP90=""),"",IF(AND($AN90&lt;&gt;"",$AP90&lt;&gt;""),IF(AN90="세입없음","OK",IF(VLOOKUP($AN90,'3. 일입'!$AK$7:$AL$2000,2,FALSE)=$AP90,"OK","@@")),"@@"))</x:f>
        <x:v/>
      </x:c>
      <x:c r="AR90" s="93"/>
      <x:c r="AS90" s="533"/>
      <x:c r="AT90" s="374" t="str">
        <x:f>IF($AS90="","",IF($AS90="세입없음","OK",IF(COUNTIF('3. 일입'!$AN$8:$AN$2000,$AS90),"OK","@@")))</x:f>
        <x:v/>
      </x:c>
      <x:c r="AU90" s="356" t="str">
        <x:f t="shared" si="94"/>
        <x:v/>
      </x:c>
      <x:c r="AV90" s="374" t="str">
        <x:f t="shared" si="95"/>
        <x:v/>
      </x:c>
      <x:c r="AW90" s="93"/>
      <x:c r="AX90" s="348"/>
      <x:c r="AY90" s="29"/>
    </x:row>
    <x:row r="91" spans="1:51" s="20" customFormat="1" ht="80.099999999999994" customHeight="1">
      <x:c r="A91" s="155" t="str">
        <x:f>IF(D91="","",COUNTA($C$7:C91)-COUNTBLANK($C$7:C91)+6)</x:f>
        <x:v/>
      </x:c>
      <x:c r="B91" s="156" t="str">
        <x: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x:f>
        <x:v/>
      </x:c>
      <x:c r="C91" s="156" t="str">
        <x:f>IF(D91="","",IF(OR(D91="교육지원과",D91="총무과",D91="인사과"),"직접입력",VLOOKUP(D91,구분표!$A$3:$C$258,3,)))</x:f>
        <x:v/>
      </x:c>
      <x:c r="D91" s="219"/>
      <x:c r="E91" s="213"/>
      <x:c r="F91" s="388" t="str">
        <x:f t="shared" si="96"/>
        <x:v/>
      </x:c>
      <x:c r="G91" s="388" t="str">
        <x:f t="shared" si="96"/>
        <x:v/>
      </x:c>
      <x:c r="H91" s="213"/>
      <x:c r="I91" s="156" t="str">
        <x:f>IF(H91="","",VLOOKUP($H91,구분표!$K$3:$M$151,2,FALSE))</x:f>
        <x:v/>
      </x:c>
      <x:c r="J91" s="156" t="str">
        <x:f>IF(I91="","",VLOOKUP($H91,구분표!$K$3:$M$151,3,FALSE))</x:f>
        <x:v/>
      </x:c>
      <x:c r="K91" s="233"/>
      <x:c r="L91" s="233"/>
      <x:c r="M91" s="459" t="str">
        <x:f t="shared" si="97"/>
        <x:v/>
      </x:c>
      <x:c r="N91" s="459" t="str">
        <x:f t="shared" si="98"/>
        <x:v/>
      </x:c>
      <x:c r="O91" s="461" t="str">
        <x:f t="shared" si="79"/>
        <x:v/>
      </x:c>
      <x:c r="P91" s="460"/>
      <x:c r="Q91" s="461">
        <x:f t="shared" si="80"/>
        <x:v>0</x:v>
      </x:c>
      <x:c r="R91" s="462"/>
      <x:c r="S91" s="463">
        <x:f t="shared" si="81"/>
        <x:v>0</x:v>
      </x:c>
      <x:c r="T91" s="162" t="str">
        <x:f t="shared" si="82"/>
        <x:v>X</x:v>
      </x:c>
      <x:c r="U91" s="552"/>
      <x:c r="V91" s="331"/>
      <x:c r="W91" s="221"/>
      <x:c r="X91" s="223"/>
      <x:c r="Y91" s="334"/>
      <x:c r="Z91" s="334"/>
      <x:c r="AA91" s="29"/>
      <x:c r="AB91" s="486">
        <x:f t="shared" si="83"/>
        <x:v>0</x:v>
      </x:c>
      <x:c r="AC91" s="487">
        <x:f t="shared" si="84"/>
        <x:v>0</x:v>
      </x:c>
      <x:c r="AD91" s="487">
        <x:f t="shared" si="85"/>
        <x:v>0</x:v>
      </x:c>
      <x:c r="AE91" s="487">
        <x:f t="shared" si="86"/>
        <x:v>0</x:v>
      </x:c>
      <x:c r="AF91" s="374" t="str">
        <x:f t="shared" si="87"/>
        <x:v/>
      </x:c>
      <x:c r="AG91" s="93"/>
      <x:c r="AH91" s="488">
        <x:f t="shared" si="88"/>
        <x:v>0</x:v>
      </x:c>
      <x:c r="AI91" s="487">
        <x:f t="shared" si="89"/>
        <x:v>0</x:v>
      </x:c>
      <x:c r="AJ91" s="487">
        <x:f t="shared" si="90"/>
        <x:v>0</x:v>
      </x:c>
      <x:c r="AK91" s="487">
        <x:f t="shared" si="91"/>
        <x:v>0</x:v>
      </x:c>
      <x:c r="AL91" s="374" t="str">
        <x:f t="shared" si="92"/>
        <x:v/>
      </x:c>
      <x:c r="AM91" s="92"/>
      <x:c r="AN91" s="221"/>
      <x:c r="AO91" s="374" t="str">
        <x:f>IF($AP91="","",IF($AN91="세입없음","OK",IF(OR($AP91="재원확인",$AN91=""),"@@",IF(COUNTIF('3. 일입'!$AK$8:$AK$2000,$AN91),"OK","@@"))))</x:f>
        <x:v/>
      </x:c>
      <x:c r="AP91" s="356" t="str">
        <x:f t="shared" si="93"/>
        <x:v/>
      </x:c>
      <x:c r="AQ91" s="374" t="str">
        <x:f>IF(AND($AN91="",$AP91=""),"",IF(AND($AN91&lt;&gt;"",$AP91&lt;&gt;""),IF(AN91="세입없음","OK",IF(VLOOKUP($AN91,'3. 일입'!$AK$7:$AL$2000,2,FALSE)=$AP91,"OK","@@")),"@@"))</x:f>
        <x:v/>
      </x:c>
      <x:c r="AR91" s="93"/>
      <x:c r="AS91" s="533"/>
      <x:c r="AT91" s="374" t="str">
        <x:f>IF($AS91="","",IF($AS91="세입없음","OK",IF(COUNTIF('3. 일입'!$AN$8:$AN$2000,$AS91),"OK","@@")))</x:f>
        <x:v/>
      </x:c>
      <x:c r="AU91" s="356" t="str">
        <x:f t="shared" si="94"/>
        <x:v/>
      </x:c>
      <x:c r="AV91" s="374" t="str">
        <x:f t="shared" si="95"/>
        <x:v/>
      </x:c>
      <x:c r="AW91" s="93"/>
      <x:c r="AX91" s="348"/>
      <x:c r="AY91" s="29"/>
    </x:row>
    <x:row r="92" spans="1:51" s="20" customFormat="1" ht="80.099999999999994" customHeight="1">
      <x:c r="A92" s="155" t="str">
        <x:f>IF(D92="","",COUNTA($C$7:C92)-COUNTBLANK($C$7:C92)+6)</x:f>
        <x:v/>
      </x:c>
      <x:c r="B92" s="156" t="str">
        <x: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x:f>
        <x:v/>
      </x:c>
      <x:c r="C92" s="156" t="str">
        <x:f>IF(D92="","",IF(OR(D92="교육지원과",D92="총무과",D92="인사과"),"직접입력",VLOOKUP(D92,구분표!$A$3:$C$258,3,)))</x:f>
        <x:v/>
      </x:c>
      <x:c r="D92" s="219"/>
      <x:c r="E92" s="213"/>
      <x:c r="F92" s="388" t="str">
        <x:f t="shared" si="96"/>
        <x:v/>
      </x:c>
      <x:c r="G92" s="388" t="str">
        <x:f t="shared" si="96"/>
        <x:v/>
      </x:c>
      <x:c r="H92" s="213"/>
      <x:c r="I92" s="156" t="str">
        <x:f>IF(H92="","",VLOOKUP($H92,구분표!$K$3:$M$151,2,FALSE))</x:f>
        <x:v/>
      </x:c>
      <x:c r="J92" s="156" t="str">
        <x:f>IF(I92="","",VLOOKUP($H92,구분표!$K$3:$M$151,3,FALSE))</x:f>
        <x:v/>
      </x:c>
      <x:c r="K92" s="233"/>
      <x:c r="L92" s="233"/>
      <x:c r="M92" s="459" t="str">
        <x:f t="shared" si="97"/>
        <x:v/>
      </x:c>
      <x:c r="N92" s="459" t="str">
        <x:f t="shared" si="98"/>
        <x:v/>
      </x:c>
      <x:c r="O92" s="461" t="str">
        <x:f t="shared" si="79"/>
        <x:v/>
      </x:c>
      <x:c r="P92" s="460"/>
      <x:c r="Q92" s="461">
        <x:f t="shared" si="80"/>
        <x:v>0</x:v>
      </x:c>
      <x:c r="R92" s="462"/>
      <x:c r="S92" s="463">
        <x:f t="shared" si="81"/>
        <x:v>0</x:v>
      </x:c>
      <x:c r="T92" s="162" t="str">
        <x:f t="shared" si="82"/>
        <x:v>X</x:v>
      </x:c>
      <x:c r="U92" s="552"/>
      <x:c r="V92" s="331"/>
      <x:c r="W92" s="221"/>
      <x:c r="X92" s="223"/>
      <x:c r="Y92" s="334"/>
      <x:c r="Z92" s="334"/>
      <x:c r="AA92" s="29"/>
      <x:c r="AB92" s="486">
        <x:f t="shared" si="83"/>
        <x:v>0</x:v>
      </x:c>
      <x:c r="AC92" s="487">
        <x:f t="shared" si="84"/>
        <x:v>0</x:v>
      </x:c>
      <x:c r="AD92" s="487">
        <x:f t="shared" si="85"/>
        <x:v>0</x:v>
      </x:c>
      <x:c r="AE92" s="487">
        <x:f t="shared" si="86"/>
        <x:v>0</x:v>
      </x:c>
      <x:c r="AF92" s="374" t="str">
        <x:f t="shared" si="87"/>
        <x:v/>
      </x:c>
      <x:c r="AG92" s="93"/>
      <x:c r="AH92" s="488">
        <x:f t="shared" si="88"/>
        <x:v>0</x:v>
      </x:c>
      <x:c r="AI92" s="487">
        <x:f t="shared" si="89"/>
        <x:v>0</x:v>
      </x:c>
      <x:c r="AJ92" s="487">
        <x:f t="shared" si="90"/>
        <x:v>0</x:v>
      </x:c>
      <x:c r="AK92" s="487">
        <x:f t="shared" si="91"/>
        <x:v>0</x:v>
      </x:c>
      <x:c r="AL92" s="374" t="str">
        <x:f t="shared" si="92"/>
        <x:v/>
      </x:c>
      <x:c r="AM92" s="92"/>
      <x:c r="AN92" s="221"/>
      <x:c r="AO92" s="374" t="str">
        <x:f>IF($AP92="","",IF($AN92="세입없음","OK",IF(OR($AP92="재원확인",$AN92=""),"@@",IF(COUNTIF('3. 일입'!$AK$8:$AK$2000,$AN92),"OK","@@"))))</x:f>
        <x:v/>
      </x:c>
      <x:c r="AP92" s="356" t="str">
        <x:f t="shared" si="93"/>
        <x:v/>
      </x:c>
      <x:c r="AQ92" s="374" t="str">
        <x:f>IF(AND($AN92="",$AP92=""),"",IF(AND($AN92&lt;&gt;"",$AP92&lt;&gt;""),IF(AN92="세입없음","OK",IF(VLOOKUP($AN92,'3. 일입'!$AK$7:$AL$2000,2,FALSE)=$AP92,"OK","@@")),"@@"))</x:f>
        <x:v/>
      </x:c>
      <x:c r="AR92" s="93"/>
      <x:c r="AS92" s="533"/>
      <x:c r="AT92" s="374" t="str">
        <x:f>IF($AS92="","",IF($AS92="세입없음","OK",IF(COUNTIF('3. 일입'!$AN$8:$AN$2000,$AS92),"OK","@@")))</x:f>
        <x:v/>
      </x:c>
      <x:c r="AU92" s="356" t="str">
        <x:f t="shared" si="94"/>
        <x:v/>
      </x:c>
      <x:c r="AV92" s="374" t="str">
        <x:f t="shared" si="95"/>
        <x:v/>
      </x:c>
      <x:c r="AW92" s="93"/>
      <x:c r="AX92" s="348"/>
      <x:c r="AY92" s="29"/>
    </x:row>
    <x:row r="93" spans="1:51" s="20" customFormat="1" ht="80.099999999999994" customHeight="1">
      <x:c r="A93" s="155" t="str">
        <x:f>IF(D93="","",COUNTA($C$7:C93)-COUNTBLANK($C$7:C93)+6)</x:f>
        <x:v/>
      </x:c>
      <x:c r="B93" s="156" t="str">
        <x: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x:f>
        <x:v/>
      </x:c>
      <x:c r="C93" s="156" t="str">
        <x:f>IF(D93="","",IF(OR(D93="교육지원과",D93="총무과",D93="인사과"),"직접입력",VLOOKUP(D93,구분표!$A$3:$C$258,3,)))</x:f>
        <x:v/>
      </x:c>
      <x:c r="D93" s="219"/>
      <x:c r="E93" s="213"/>
      <x:c r="F93" s="388" t="str">
        <x:f t="shared" si="96"/>
        <x:v/>
      </x:c>
      <x:c r="G93" s="388" t="str">
        <x:f t="shared" si="96"/>
        <x:v/>
      </x:c>
      <x:c r="H93" s="213"/>
      <x:c r="I93" s="156" t="str">
        <x:f>IF(H93="","",VLOOKUP($H93,구분표!$K$3:$M$151,2,FALSE))</x:f>
        <x:v/>
      </x:c>
      <x:c r="J93" s="156" t="str">
        <x:f>IF(I93="","",VLOOKUP($H93,구분표!$K$3:$M$151,3,FALSE))</x:f>
        <x:v/>
      </x:c>
      <x:c r="K93" s="233"/>
      <x:c r="L93" s="233"/>
      <x:c r="M93" s="459" t="str">
        <x:f t="shared" si="97"/>
        <x:v/>
      </x:c>
      <x:c r="N93" s="459" t="str">
        <x:f t="shared" si="98"/>
        <x:v/>
      </x:c>
      <x:c r="O93" s="461" t="str">
        <x:f t="shared" si="79"/>
        <x:v/>
      </x:c>
      <x:c r="P93" s="460"/>
      <x:c r="Q93" s="461">
        <x:f t="shared" si="80"/>
        <x:v>0</x:v>
      </x:c>
      <x:c r="R93" s="462"/>
      <x:c r="S93" s="463">
        <x:f t="shared" si="81"/>
        <x:v>0</x:v>
      </x:c>
      <x:c r="T93" s="162" t="str">
        <x:f t="shared" si="82"/>
        <x:v>X</x:v>
      </x:c>
      <x:c r="U93" s="552"/>
      <x:c r="V93" s="331"/>
      <x:c r="W93" s="221"/>
      <x:c r="X93" s="223"/>
      <x:c r="Y93" s="334"/>
      <x:c r="Z93" s="334"/>
      <x:c r="AA93" s="29"/>
      <x:c r="AB93" s="486">
        <x:f t="shared" si="83"/>
        <x:v>0</x:v>
      </x:c>
      <x:c r="AC93" s="487">
        <x:f t="shared" si="84"/>
        <x:v>0</x:v>
      </x:c>
      <x:c r="AD93" s="487">
        <x:f t="shared" si="85"/>
        <x:v>0</x:v>
      </x:c>
      <x:c r="AE93" s="487">
        <x:f t="shared" si="86"/>
        <x:v>0</x:v>
      </x:c>
      <x:c r="AF93" s="374" t="str">
        <x:f t="shared" si="87"/>
        <x:v/>
      </x:c>
      <x:c r="AG93" s="93"/>
      <x:c r="AH93" s="488">
        <x:f t="shared" si="88"/>
        <x:v>0</x:v>
      </x:c>
      <x:c r="AI93" s="487">
        <x:f t="shared" si="89"/>
        <x:v>0</x:v>
      </x:c>
      <x:c r="AJ93" s="487">
        <x:f t="shared" si="90"/>
        <x:v>0</x:v>
      </x:c>
      <x:c r="AK93" s="487">
        <x:f t="shared" si="91"/>
        <x:v>0</x:v>
      </x:c>
      <x:c r="AL93" s="374" t="str">
        <x:f t="shared" si="92"/>
        <x:v/>
      </x:c>
      <x:c r="AM93" s="92"/>
      <x:c r="AN93" s="221"/>
      <x:c r="AO93" s="374" t="str">
        <x:f>IF($AP93="","",IF($AN93="세입없음","OK",IF(OR($AP93="재원확인",$AN93=""),"@@",IF(COUNTIF('3. 일입'!$AK$8:$AK$2000,$AN93),"OK","@@"))))</x:f>
        <x:v/>
      </x:c>
      <x:c r="AP93" s="356" t="str">
        <x:f t="shared" si="93"/>
        <x:v/>
      </x:c>
      <x:c r="AQ93" s="374" t="str">
        <x:f>IF(AND($AN93="",$AP93=""),"",IF(AND($AN93&lt;&gt;"",$AP93&lt;&gt;""),IF(AN93="세입없음","OK",IF(VLOOKUP($AN93,'3. 일입'!$AK$7:$AL$2000,2,FALSE)=$AP93,"OK","@@")),"@@"))</x:f>
        <x:v/>
      </x:c>
      <x:c r="AR93" s="93"/>
      <x:c r="AS93" s="533"/>
      <x:c r="AT93" s="374" t="str">
        <x:f>IF($AS93="","",IF($AS93="세입없음","OK",IF(COUNTIF('3. 일입'!$AN$8:$AN$2000,$AS93),"OK","@@")))</x:f>
        <x:v/>
      </x:c>
      <x:c r="AU93" s="356" t="str">
        <x:f t="shared" si="94"/>
        <x:v/>
      </x:c>
      <x:c r="AV93" s="374" t="str">
        <x:f t="shared" si="95"/>
        <x:v/>
      </x:c>
      <x:c r="AW93" s="93"/>
      <x:c r="AX93" s="348"/>
      <x:c r="AY93" s="29"/>
    </x:row>
    <x:row r="94" spans="1:51" s="20" customFormat="1" ht="80.099999999999994" customHeight="1">
      <x:c r="A94" s="155" t="str">
        <x:f>IF(D94="","",COUNTA($C$7:C94)-COUNTBLANK($C$7:C94)+6)</x:f>
        <x:v/>
      </x:c>
      <x:c r="B94" s="156" t="str">
        <x: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x:f>
        <x:v/>
      </x:c>
      <x:c r="C94" s="156" t="str">
        <x:f>IF(D94="","",IF(OR(D94="교육지원과",D94="총무과",D94="인사과"),"직접입력",VLOOKUP(D94,구분표!$A$3:$C$258,3,)))</x:f>
        <x:v/>
      </x:c>
      <x:c r="D94" s="219"/>
      <x:c r="E94" s="213"/>
      <x:c r="F94" s="388" t="str">
        <x:f t="shared" si="96"/>
        <x:v/>
      </x:c>
      <x:c r="G94" s="388" t="str">
        <x:f t="shared" si="96"/>
        <x:v/>
      </x:c>
      <x:c r="H94" s="213"/>
      <x:c r="I94" s="156" t="str">
        <x:f>IF(H94="","",VLOOKUP($H94,구분표!$K$3:$M$151,2,FALSE))</x:f>
        <x:v/>
      </x:c>
      <x:c r="J94" s="156" t="str">
        <x:f>IF(I94="","",VLOOKUP($H94,구분표!$K$3:$M$151,3,FALSE))</x:f>
        <x:v/>
      </x:c>
      <x:c r="K94" s="233"/>
      <x:c r="L94" s="233"/>
      <x:c r="M94" s="459" t="str">
        <x:f t="shared" si="97"/>
        <x:v/>
      </x:c>
      <x:c r="N94" s="459" t="str">
        <x:f t="shared" si="98"/>
        <x:v/>
      </x:c>
      <x:c r="O94" s="461" t="str">
        <x:f t="shared" si="79"/>
        <x:v/>
      </x:c>
      <x:c r="P94" s="460"/>
      <x:c r="Q94" s="461">
        <x:f t="shared" si="80"/>
        <x:v>0</x:v>
      </x:c>
      <x:c r="R94" s="462"/>
      <x:c r="S94" s="463">
        <x:f t="shared" si="81"/>
        <x:v>0</x:v>
      </x:c>
      <x:c r="T94" s="162" t="str">
        <x:f t="shared" si="82"/>
        <x:v>X</x:v>
      </x:c>
      <x:c r="U94" s="552"/>
      <x:c r="V94" s="331"/>
      <x:c r="W94" s="221"/>
      <x:c r="X94" s="223"/>
      <x:c r="Y94" s="334"/>
      <x:c r="Z94" s="334"/>
      <x:c r="AA94" s="29"/>
      <x:c r="AB94" s="486">
        <x:f t="shared" si="83"/>
        <x:v>0</x:v>
      </x:c>
      <x:c r="AC94" s="487">
        <x:f t="shared" si="84"/>
        <x:v>0</x:v>
      </x:c>
      <x:c r="AD94" s="487">
        <x:f t="shared" si="85"/>
        <x:v>0</x:v>
      </x:c>
      <x:c r="AE94" s="487">
        <x:f t="shared" si="86"/>
        <x:v>0</x:v>
      </x:c>
      <x:c r="AF94" s="374" t="str">
        <x:f t="shared" si="87"/>
        <x:v/>
      </x:c>
      <x:c r="AG94" s="93"/>
      <x:c r="AH94" s="488">
        <x:f t="shared" si="88"/>
        <x:v>0</x:v>
      </x:c>
      <x:c r="AI94" s="487">
        <x:f t="shared" si="89"/>
        <x:v>0</x:v>
      </x:c>
      <x:c r="AJ94" s="487">
        <x:f t="shared" si="90"/>
        <x:v>0</x:v>
      </x:c>
      <x:c r="AK94" s="487">
        <x:f t="shared" si="91"/>
        <x:v>0</x:v>
      </x:c>
      <x:c r="AL94" s="374" t="str">
        <x:f t="shared" si="92"/>
        <x:v/>
      </x:c>
      <x:c r="AM94" s="92"/>
      <x:c r="AN94" s="221"/>
      <x:c r="AO94" s="374" t="str">
        <x:f>IF($AP94="","",IF($AN94="세입없음","OK",IF(OR($AP94="재원확인",$AN94=""),"@@",IF(COUNTIF('3. 일입'!$AK$8:$AK$2000,$AN94),"OK","@@"))))</x:f>
        <x:v/>
      </x:c>
      <x:c r="AP94" s="356" t="str">
        <x:f t="shared" si="93"/>
        <x:v/>
      </x:c>
      <x:c r="AQ94" s="374" t="str">
        <x:f>IF(AND($AN94="",$AP94=""),"",IF(AND($AN94&lt;&gt;"",$AP94&lt;&gt;""),IF(AN94="세입없음","OK",IF(VLOOKUP($AN94,'3. 일입'!$AK$7:$AL$2000,2,FALSE)=$AP94,"OK","@@")),"@@"))</x:f>
        <x:v/>
      </x:c>
      <x:c r="AR94" s="93"/>
      <x:c r="AS94" s="533"/>
      <x:c r="AT94" s="374" t="str">
        <x:f>IF($AS94="","",IF($AS94="세입없음","OK",IF(COUNTIF('3. 일입'!$AN$8:$AN$2000,$AS94),"OK","@@")))</x:f>
        <x:v/>
      </x:c>
      <x:c r="AU94" s="356" t="str">
        <x:f t="shared" si="94"/>
        <x:v/>
      </x:c>
      <x:c r="AV94" s="374" t="str">
        <x:f t="shared" si="95"/>
        <x:v/>
      </x:c>
      <x:c r="AW94" s="93"/>
      <x:c r="AX94" s="348"/>
      <x:c r="AY94" s="29"/>
    </x:row>
    <x:row r="95" spans="1:51" s="20" customFormat="1" ht="80.099999999999994" customHeight="1">
      <x:c r="A95" s="155" t="str">
        <x:f>IF(D95="","",COUNTA($C$7:C95)-COUNTBLANK($C$7:C95)+6)</x:f>
        <x:v/>
      </x:c>
      <x:c r="B95" s="156" t="str">
        <x: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x:f>
        <x:v/>
      </x:c>
      <x:c r="C95" s="156" t="str">
        <x:f>IF(D95="","",IF(OR(D95="교육지원과",D95="총무과",D95="인사과"),"직접입력",VLOOKUP(D95,구분표!$A$3:$C$258,3,)))</x:f>
        <x:v/>
      </x:c>
      <x:c r="D95" s="219"/>
      <x:c r="E95" s="213"/>
      <x:c r="F95" s="388" t="str">
        <x:f t="shared" si="96"/>
        <x:v/>
      </x:c>
      <x:c r="G95" s="388" t="str">
        <x:f t="shared" si="96"/>
        <x:v/>
      </x:c>
      <x:c r="H95" s="213"/>
      <x:c r="I95" s="156" t="str">
        <x:f>IF(H95="","",VLOOKUP($H95,구분표!$K$3:$M$151,2,FALSE))</x:f>
        <x:v/>
      </x:c>
      <x:c r="J95" s="156" t="str">
        <x:f>IF(I95="","",VLOOKUP($H95,구분표!$K$3:$M$151,3,FALSE))</x:f>
        <x:v/>
      </x:c>
      <x:c r="K95" s="233"/>
      <x:c r="L95" s="233"/>
      <x:c r="M95" s="459" t="str">
        <x:f t="shared" si="97"/>
        <x:v/>
      </x:c>
      <x:c r="N95" s="459" t="str">
        <x:f t="shared" si="98"/>
        <x:v/>
      </x:c>
      <x:c r="O95" s="461" t="str">
        <x:f t="shared" si="79"/>
        <x:v/>
      </x:c>
      <x:c r="P95" s="460"/>
      <x:c r="Q95" s="461">
        <x:f t="shared" si="80"/>
        <x:v>0</x:v>
      </x:c>
      <x:c r="R95" s="462"/>
      <x:c r="S95" s="463">
        <x:f t="shared" si="81"/>
        <x:v>0</x:v>
      </x:c>
      <x:c r="T95" s="162" t="str">
        <x:f t="shared" si="82"/>
        <x:v>X</x:v>
      </x:c>
      <x:c r="U95" s="552"/>
      <x:c r="V95" s="331"/>
      <x:c r="W95" s="221"/>
      <x:c r="X95" s="223"/>
      <x:c r="Y95" s="334"/>
      <x:c r="Z95" s="334"/>
      <x:c r="AA95" s="29"/>
      <x:c r="AB95" s="486">
        <x:f t="shared" si="83"/>
        <x:v>0</x:v>
      </x:c>
      <x:c r="AC95" s="487">
        <x:f t="shared" si="84"/>
        <x:v>0</x:v>
      </x:c>
      <x:c r="AD95" s="487">
        <x:f t="shared" si="85"/>
        <x:v>0</x:v>
      </x:c>
      <x:c r="AE95" s="487">
        <x:f t="shared" si="86"/>
        <x:v>0</x:v>
      </x:c>
      <x:c r="AF95" s="374" t="str">
        <x:f t="shared" si="87"/>
        <x:v/>
      </x:c>
      <x:c r="AG95" s="93"/>
      <x:c r="AH95" s="488">
        <x:f t="shared" si="88"/>
        <x:v>0</x:v>
      </x:c>
      <x:c r="AI95" s="487">
        <x:f t="shared" si="89"/>
        <x:v>0</x:v>
      </x:c>
      <x:c r="AJ95" s="487">
        <x:f t="shared" si="90"/>
        <x:v>0</x:v>
      </x:c>
      <x:c r="AK95" s="487">
        <x:f t="shared" si="91"/>
        <x:v>0</x:v>
      </x:c>
      <x:c r="AL95" s="374" t="str">
        <x:f t="shared" si="92"/>
        <x:v/>
      </x:c>
      <x:c r="AM95" s="92"/>
      <x:c r="AN95" s="221"/>
      <x:c r="AO95" s="374" t="str">
        <x:f>IF($AP95="","",IF($AN95="세입없음","OK",IF(OR($AP95="재원확인",$AN95=""),"@@",IF(COUNTIF('3. 일입'!$AK$8:$AK$2000,$AN95),"OK","@@"))))</x:f>
        <x:v/>
      </x:c>
      <x:c r="AP95" s="356" t="str">
        <x:f t="shared" si="93"/>
        <x:v/>
      </x:c>
      <x:c r="AQ95" s="374" t="str">
        <x:f>IF(AND($AN95="",$AP95=""),"",IF(AND($AN95&lt;&gt;"",$AP95&lt;&gt;""),IF(AN95="세입없음","OK",IF(VLOOKUP($AN95,'3. 일입'!$AK$7:$AL$2000,2,FALSE)=$AP95,"OK","@@")),"@@"))</x:f>
        <x:v/>
      </x:c>
      <x:c r="AR95" s="93"/>
      <x:c r="AS95" s="533"/>
      <x:c r="AT95" s="374" t="str">
        <x:f>IF($AS95="","",IF($AS95="세입없음","OK",IF(COUNTIF('3. 일입'!$AN$8:$AN$2000,$AS95),"OK","@@")))</x:f>
        <x:v/>
      </x:c>
      <x:c r="AU95" s="356" t="str">
        <x:f t="shared" si="94"/>
        <x:v/>
      </x:c>
      <x:c r="AV95" s="374" t="str">
        <x:f t="shared" si="95"/>
        <x:v/>
      </x:c>
      <x:c r="AW95" s="93"/>
      <x:c r="AX95" s="348"/>
      <x:c r="AY95" s="29"/>
    </x:row>
    <x:row r="96" spans="1:51" s="20" customFormat="1" ht="80.099999999999994" customHeight="1">
      <x:c r="A96" s="155" t="str">
        <x:f>IF(D96="","",COUNTA($C$7:C96)-COUNTBLANK($C$7:C96)+6)</x:f>
        <x:v/>
      </x:c>
      <x:c r="B96" s="156" t="str">
        <x: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x:f>
        <x:v/>
      </x:c>
      <x:c r="C96" s="156" t="str">
        <x:f>IF(D96="","",IF(OR(D96="교육지원과",D96="총무과",D96="인사과"),"직접입력",VLOOKUP(D96,구분표!$A$3:$C$258,3,)))</x:f>
        <x:v/>
      </x:c>
      <x:c r="D96" s="219"/>
      <x:c r="E96" s="213"/>
      <x:c r="F96" s="388" t="str">
        <x:f t="shared" si="96"/>
        <x:v/>
      </x:c>
      <x:c r="G96" s="388" t="str">
        <x:f t="shared" si="96"/>
        <x:v/>
      </x:c>
      <x:c r="H96" s="213"/>
      <x:c r="I96" s="156" t="str">
        <x:f>IF(H96="","",VLOOKUP($H96,구분표!$K$3:$M$151,2,FALSE))</x:f>
        <x:v/>
      </x:c>
      <x:c r="J96" s="156" t="str">
        <x:f>IF(I96="","",VLOOKUP($H96,구분표!$K$3:$M$151,3,FALSE))</x:f>
        <x:v/>
      </x:c>
      <x:c r="K96" s="233"/>
      <x:c r="L96" s="233"/>
      <x:c r="M96" s="459" t="str">
        <x:f t="shared" si="97"/>
        <x:v/>
      </x:c>
      <x:c r="N96" s="459" t="str">
        <x:f t="shared" si="98"/>
        <x:v/>
      </x:c>
      <x:c r="O96" s="461" t="str">
        <x:f t="shared" si="79"/>
        <x:v/>
      </x:c>
      <x:c r="P96" s="460"/>
      <x:c r="Q96" s="461">
        <x:f t="shared" si="80"/>
        <x:v>0</x:v>
      </x:c>
      <x:c r="R96" s="462"/>
      <x:c r="S96" s="463">
        <x:f t="shared" si="81"/>
        <x:v>0</x:v>
      </x:c>
      <x:c r="T96" s="162" t="str">
        <x:f t="shared" si="82"/>
        <x:v>X</x:v>
      </x:c>
      <x:c r="U96" s="552"/>
      <x:c r="V96" s="331"/>
      <x:c r="W96" s="221"/>
      <x:c r="X96" s="223"/>
      <x:c r="Y96" s="334"/>
      <x:c r="Z96" s="334"/>
      <x:c r="AA96" s="29"/>
      <x:c r="AB96" s="486">
        <x:f t="shared" si="83"/>
        <x:v>0</x:v>
      </x:c>
      <x:c r="AC96" s="487">
        <x:f t="shared" si="84"/>
        <x:v>0</x:v>
      </x:c>
      <x:c r="AD96" s="487">
        <x:f t="shared" si="85"/>
        <x:v>0</x:v>
      </x:c>
      <x:c r="AE96" s="487">
        <x:f t="shared" si="86"/>
        <x:v>0</x:v>
      </x:c>
      <x:c r="AF96" s="374" t="str">
        <x:f t="shared" si="87"/>
        <x:v/>
      </x:c>
      <x:c r="AG96" s="93"/>
      <x:c r="AH96" s="488">
        <x:f t="shared" si="88"/>
        <x:v>0</x:v>
      </x:c>
      <x:c r="AI96" s="487">
        <x:f t="shared" si="89"/>
        <x:v>0</x:v>
      </x:c>
      <x:c r="AJ96" s="487">
        <x:f t="shared" si="90"/>
        <x:v>0</x:v>
      </x:c>
      <x:c r="AK96" s="487">
        <x:f t="shared" si="91"/>
        <x:v>0</x:v>
      </x:c>
      <x:c r="AL96" s="374" t="str">
        <x:f t="shared" si="92"/>
        <x:v/>
      </x:c>
      <x:c r="AM96" s="92"/>
      <x:c r="AN96" s="221"/>
      <x:c r="AO96" s="374" t="str">
        <x:f>IF($AP96="","",IF($AN96="세입없음","OK",IF(OR($AP96="재원확인",$AN96=""),"@@",IF(COUNTIF('3. 일입'!$AK$8:$AK$2000,$AN96),"OK","@@"))))</x:f>
        <x:v/>
      </x:c>
      <x:c r="AP96" s="356" t="str">
        <x:f t="shared" si="93"/>
        <x:v/>
      </x:c>
      <x:c r="AQ96" s="374" t="str">
        <x:f>IF(AND($AN96="",$AP96=""),"",IF(AND($AN96&lt;&gt;"",$AP96&lt;&gt;""),IF(AN96="세입없음","OK",IF(VLOOKUP($AN96,'3. 일입'!$AK$7:$AL$2000,2,FALSE)=$AP96,"OK","@@")),"@@"))</x:f>
        <x:v/>
      </x:c>
      <x:c r="AR96" s="93"/>
      <x:c r="AS96" s="533"/>
      <x:c r="AT96" s="374" t="str">
        <x:f>IF($AS96="","",IF($AS96="세입없음","OK",IF(COUNTIF('3. 일입'!$AN$8:$AN$2000,$AS96),"OK","@@")))</x:f>
        <x:v/>
      </x:c>
      <x:c r="AU96" s="356" t="str">
        <x:f t="shared" si="94"/>
        <x:v/>
      </x:c>
      <x:c r="AV96" s="374" t="str">
        <x:f t="shared" si="95"/>
        <x:v/>
      </x:c>
      <x:c r="AW96" s="93"/>
      <x:c r="AX96" s="348"/>
      <x:c r="AY96" s="29"/>
    </x:row>
    <x:row r="97" spans="1:51" s="20" customFormat="1" ht="80.099999999999994" customHeight="1">
      <x:c r="A97" s="155" t="str">
        <x:f>IF(D97="","",COUNTA($C$7:C97)-COUNTBLANK($C$7:C97)+6)</x:f>
        <x:v/>
      </x:c>
      <x:c r="B97" s="156" t="str">
        <x: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x:f>
        <x:v/>
      </x:c>
      <x:c r="C97" s="156" t="str">
        <x:f>IF(D97="","",IF(OR(D97="교육지원과",D97="총무과",D97="인사과"),"직접입력",VLOOKUP(D97,구분표!$A$3:$C$258,3,)))</x:f>
        <x:v/>
      </x:c>
      <x:c r="D97" s="219"/>
      <x:c r="E97" s="213"/>
      <x:c r="F97" s="388" t="str">
        <x:f t="shared" si="96"/>
        <x:v/>
      </x:c>
      <x:c r="G97" s="388" t="str">
        <x:f t="shared" si="96"/>
        <x:v/>
      </x:c>
      <x:c r="H97" s="213"/>
      <x:c r="I97" s="156" t="str">
        <x:f>IF(H97="","",VLOOKUP($H97,구분표!$K$3:$M$151,2,FALSE))</x:f>
        <x:v/>
      </x:c>
      <x:c r="J97" s="156" t="str">
        <x:f>IF(I97="","",VLOOKUP($H97,구분표!$K$3:$M$151,3,FALSE))</x:f>
        <x:v/>
      </x:c>
      <x:c r="K97" s="233"/>
      <x:c r="L97" s="233"/>
      <x:c r="M97" s="459" t="str">
        <x:f t="shared" si="97"/>
        <x:v/>
      </x:c>
      <x:c r="N97" s="459" t="str">
        <x:f t="shared" si="98"/>
        <x:v/>
      </x:c>
      <x:c r="O97" s="461" t="str">
        <x:f t="shared" si="79"/>
        <x:v/>
      </x:c>
      <x:c r="P97" s="460"/>
      <x:c r="Q97" s="461">
        <x:f t="shared" si="80"/>
        <x:v>0</x:v>
      </x:c>
      <x:c r="R97" s="462"/>
      <x:c r="S97" s="463">
        <x:f t="shared" si="81"/>
        <x:v>0</x:v>
      </x:c>
      <x:c r="T97" s="162" t="str">
        <x:f t="shared" si="82"/>
        <x:v>X</x:v>
      </x:c>
      <x:c r="U97" s="552"/>
      <x:c r="V97" s="331"/>
      <x:c r="W97" s="221"/>
      <x:c r="X97" s="223"/>
      <x:c r="Y97" s="334"/>
      <x:c r="Z97" s="334"/>
      <x:c r="AA97" s="29"/>
      <x:c r="AB97" s="486">
        <x:f t="shared" si="83"/>
        <x:v>0</x:v>
      </x:c>
      <x:c r="AC97" s="487">
        <x:f t="shared" si="84"/>
        <x:v>0</x:v>
      </x:c>
      <x:c r="AD97" s="487">
        <x:f t="shared" si="85"/>
        <x:v>0</x:v>
      </x:c>
      <x:c r="AE97" s="487">
        <x:f t="shared" si="86"/>
        <x:v>0</x:v>
      </x:c>
      <x:c r="AF97" s="374" t="str">
        <x:f t="shared" si="87"/>
        <x:v/>
      </x:c>
      <x:c r="AG97" s="93"/>
      <x:c r="AH97" s="488">
        <x:f t="shared" si="88"/>
        <x:v>0</x:v>
      </x:c>
      <x:c r="AI97" s="487">
        <x:f t="shared" si="89"/>
        <x:v>0</x:v>
      </x:c>
      <x:c r="AJ97" s="487">
        <x:f t="shared" si="90"/>
        <x:v>0</x:v>
      </x:c>
      <x:c r="AK97" s="487">
        <x:f t="shared" si="91"/>
        <x:v>0</x:v>
      </x:c>
      <x:c r="AL97" s="374" t="str">
        <x:f t="shared" si="92"/>
        <x:v/>
      </x:c>
      <x:c r="AM97" s="92"/>
      <x:c r="AN97" s="221"/>
      <x:c r="AO97" s="374" t="str">
        <x:f>IF($AP97="","",IF($AN97="세입없음","OK",IF(OR($AP97="재원확인",$AN97=""),"@@",IF(COUNTIF('3. 일입'!$AK$8:$AK$2000,$AN97),"OK","@@"))))</x:f>
        <x:v/>
      </x:c>
      <x:c r="AP97" s="356" t="str">
        <x:f t="shared" si="93"/>
        <x:v/>
      </x:c>
      <x:c r="AQ97" s="374" t="str">
        <x:f>IF(AND($AN97="",$AP97=""),"",IF(AND($AN97&lt;&gt;"",$AP97&lt;&gt;""),IF(AN97="세입없음","OK",IF(VLOOKUP($AN97,'3. 일입'!$AK$7:$AL$2000,2,FALSE)=$AP97,"OK","@@")),"@@"))</x:f>
        <x:v/>
      </x:c>
      <x:c r="AR97" s="93"/>
      <x:c r="AS97" s="533"/>
      <x:c r="AT97" s="374" t="str">
        <x:f>IF($AS97="","",IF($AS97="세입없음","OK",IF(COUNTIF('3. 일입'!$AN$8:$AN$2000,$AS97),"OK","@@")))</x:f>
        <x:v/>
      </x:c>
      <x:c r="AU97" s="356" t="str">
        <x:f t="shared" si="94"/>
        <x:v/>
      </x:c>
      <x:c r="AV97" s="374" t="str">
        <x:f t="shared" si="95"/>
        <x:v/>
      </x:c>
      <x:c r="AW97" s="93"/>
      <x:c r="AX97" s="348"/>
      <x:c r="AY97" s="29"/>
    </x:row>
    <x:row r="98" spans="1:51" s="20" customFormat="1" ht="80.099999999999994" customHeight="1">
      <x:c r="A98" s="155" t="str">
        <x:f>IF(D98="","",COUNTA($C$7:C98)-COUNTBLANK($C$7:C98)+6)</x:f>
        <x:v/>
      </x:c>
      <x:c r="B98" s="156" t="str">
        <x: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x:f>
        <x:v/>
      </x:c>
      <x:c r="C98" s="156" t="str">
        <x:f>IF(D98="","",IF(OR(D98="교육지원과",D98="총무과",D98="인사과"),"직접입력",VLOOKUP(D98,구분표!$A$3:$C$258,3,)))</x:f>
        <x:v/>
      </x:c>
      <x:c r="D98" s="219"/>
      <x:c r="E98" s="213"/>
      <x:c r="F98" s="388" t="str">
        <x:f t="shared" si="96"/>
        <x:v/>
      </x:c>
      <x:c r="G98" s="388" t="str">
        <x:f t="shared" si="96"/>
        <x:v/>
      </x:c>
      <x:c r="H98" s="213"/>
      <x:c r="I98" s="156" t="str">
        <x:f>IF(H98="","",VLOOKUP($H98,구분표!$K$3:$M$151,2,FALSE))</x:f>
        <x:v/>
      </x:c>
      <x:c r="J98" s="156" t="str">
        <x:f>IF(I98="","",VLOOKUP($H98,구분표!$K$3:$M$151,3,FALSE))</x:f>
        <x:v/>
      </x:c>
      <x:c r="K98" s="233"/>
      <x:c r="L98" s="233"/>
      <x:c r="M98" s="459" t="str">
        <x:f t="shared" si="97"/>
        <x:v/>
      </x:c>
      <x:c r="N98" s="459" t="str">
        <x:f t="shared" si="98"/>
        <x:v/>
      </x:c>
      <x:c r="O98" s="461" t="str">
        <x:f t="shared" si="79"/>
        <x:v/>
      </x:c>
      <x:c r="P98" s="460"/>
      <x:c r="Q98" s="461">
        <x:f t="shared" si="80"/>
        <x:v>0</x:v>
      </x:c>
      <x:c r="R98" s="462"/>
      <x:c r="S98" s="463">
        <x:f t="shared" si="81"/>
        <x:v>0</x:v>
      </x:c>
      <x:c r="T98" s="162" t="str">
        <x:f t="shared" si="82"/>
        <x:v>X</x:v>
      </x:c>
      <x:c r="U98" s="552"/>
      <x:c r="V98" s="331"/>
      <x:c r="W98" s="221"/>
      <x:c r="X98" s="223"/>
      <x:c r="Y98" s="334"/>
      <x:c r="Z98" s="334"/>
      <x:c r="AA98" s="29"/>
      <x:c r="AB98" s="486">
        <x:f t="shared" si="83"/>
        <x:v>0</x:v>
      </x:c>
      <x:c r="AC98" s="487">
        <x:f t="shared" si="84"/>
        <x:v>0</x:v>
      </x:c>
      <x:c r="AD98" s="487">
        <x:f t="shared" si="85"/>
        <x:v>0</x:v>
      </x:c>
      <x:c r="AE98" s="487">
        <x:f t="shared" si="86"/>
        <x:v>0</x:v>
      </x:c>
      <x:c r="AF98" s="374" t="str">
        <x:f t="shared" si="87"/>
        <x:v/>
      </x:c>
      <x:c r="AG98" s="93"/>
      <x:c r="AH98" s="488">
        <x:f t="shared" si="88"/>
        <x:v>0</x:v>
      </x:c>
      <x:c r="AI98" s="487">
        <x:f t="shared" si="89"/>
        <x:v>0</x:v>
      </x:c>
      <x:c r="AJ98" s="487">
        <x:f t="shared" si="90"/>
        <x:v>0</x:v>
      </x:c>
      <x:c r="AK98" s="487">
        <x:f t="shared" si="91"/>
        <x:v>0</x:v>
      </x:c>
      <x:c r="AL98" s="374" t="str">
        <x:f t="shared" si="92"/>
        <x:v/>
      </x:c>
      <x:c r="AM98" s="92"/>
      <x:c r="AN98" s="221"/>
      <x:c r="AO98" s="374" t="str">
        <x:f>IF($AP98="","",IF($AN98="세입없음","OK",IF(OR($AP98="재원확인",$AN98=""),"@@",IF(COUNTIF('3. 일입'!$AK$8:$AK$2000,$AN98),"OK","@@"))))</x:f>
        <x:v/>
      </x:c>
      <x:c r="AP98" s="356" t="str">
        <x:f t="shared" si="93"/>
        <x:v/>
      </x:c>
      <x:c r="AQ98" s="374" t="str">
        <x:f>IF(AND($AN98="",$AP98=""),"",IF(AND($AN98&lt;&gt;"",$AP98&lt;&gt;""),IF(AN98="세입없음","OK",IF(VLOOKUP($AN98,'3. 일입'!$AK$7:$AL$2000,2,FALSE)=$AP98,"OK","@@")),"@@"))</x:f>
        <x:v/>
      </x:c>
      <x:c r="AR98" s="93"/>
      <x:c r="AS98" s="533"/>
      <x:c r="AT98" s="374" t="str">
        <x:f>IF($AS98="","",IF($AS98="세입없음","OK",IF(COUNTIF('3. 일입'!$AN$8:$AN$2000,$AS98),"OK","@@")))</x:f>
        <x:v/>
      </x:c>
      <x:c r="AU98" s="356" t="str">
        <x:f t="shared" si="94"/>
        <x:v/>
      </x:c>
      <x:c r="AV98" s="374" t="str">
        <x:f t="shared" si="95"/>
        <x:v/>
      </x:c>
      <x:c r="AW98" s="93"/>
      <x:c r="AX98" s="348"/>
      <x:c r="AY98" s="29"/>
    </x:row>
    <x:row r="99" spans="1:51" s="20" customFormat="1" ht="80.099999999999994" customHeight="1">
      <x:c r="A99" s="155" t="str">
        <x:f>IF(D99="","",COUNTA($C$7:C99)-COUNTBLANK($C$7:C99)+6)</x:f>
        <x:v/>
      </x:c>
      <x:c r="B99" s="156" t="str">
        <x: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x:f>
        <x:v/>
      </x:c>
      <x:c r="C99" s="156" t="str">
        <x:f>IF(D99="","",IF(OR(D99="교육지원과",D99="총무과",D99="인사과"),"직접입력",VLOOKUP(D99,구분표!$A$3:$C$258,3,)))</x:f>
        <x:v/>
      </x:c>
      <x:c r="D99" s="219"/>
      <x:c r="E99" s="213"/>
      <x:c r="F99" s="388" t="str">
        <x:f t="shared" si="96"/>
        <x:v/>
      </x:c>
      <x:c r="G99" s="388" t="str">
        <x:f t="shared" si="96"/>
        <x:v/>
      </x:c>
      <x:c r="H99" s="213"/>
      <x:c r="I99" s="156" t="str">
        <x:f>IF(H99="","",VLOOKUP($H99,구분표!$K$3:$M$151,2,FALSE))</x:f>
        <x:v/>
      </x:c>
      <x:c r="J99" s="156" t="str">
        <x:f>IF(I99="","",VLOOKUP($H99,구분표!$K$3:$M$151,3,FALSE))</x:f>
        <x:v/>
      </x:c>
      <x:c r="K99" s="233"/>
      <x:c r="L99" s="233"/>
      <x:c r="M99" s="459" t="str">
        <x:f t="shared" si="97"/>
        <x:v/>
      </x:c>
      <x:c r="N99" s="459" t="str">
        <x:f t="shared" si="98"/>
        <x:v/>
      </x:c>
      <x:c r="O99" s="461" t="str">
        <x:f t="shared" si="79"/>
        <x:v/>
      </x:c>
      <x:c r="P99" s="460"/>
      <x:c r="Q99" s="461">
        <x:f t="shared" si="80"/>
        <x:v>0</x:v>
      </x:c>
      <x:c r="R99" s="462"/>
      <x:c r="S99" s="463">
        <x:f t="shared" si="81"/>
        <x:v>0</x:v>
      </x:c>
      <x:c r="T99" s="162" t="str">
        <x:f t="shared" si="82"/>
        <x:v>X</x:v>
      </x:c>
      <x:c r="U99" s="552"/>
      <x:c r="V99" s="331"/>
      <x:c r="W99" s="221"/>
      <x:c r="X99" s="223"/>
      <x:c r="Y99" s="334"/>
      <x:c r="Z99" s="334"/>
      <x:c r="AA99" s="29"/>
      <x:c r="AB99" s="486">
        <x:f t="shared" si="83"/>
        <x:v>0</x:v>
      </x:c>
      <x:c r="AC99" s="487">
        <x:f t="shared" si="84"/>
        <x:v>0</x:v>
      </x:c>
      <x:c r="AD99" s="487">
        <x:f t="shared" si="85"/>
        <x:v>0</x:v>
      </x:c>
      <x:c r="AE99" s="487">
        <x:f t="shared" si="86"/>
        <x:v>0</x:v>
      </x:c>
      <x:c r="AF99" s="374" t="str">
        <x:f t="shared" si="87"/>
        <x:v/>
      </x:c>
      <x:c r="AG99" s="93"/>
      <x:c r="AH99" s="488">
        <x:f t="shared" si="88"/>
        <x:v>0</x:v>
      </x:c>
      <x:c r="AI99" s="487">
        <x:f t="shared" si="89"/>
        <x:v>0</x:v>
      </x:c>
      <x:c r="AJ99" s="487">
        <x:f t="shared" si="90"/>
        <x:v>0</x:v>
      </x:c>
      <x:c r="AK99" s="487">
        <x:f t="shared" si="91"/>
        <x:v>0</x:v>
      </x:c>
      <x:c r="AL99" s="374" t="str">
        <x:f t="shared" si="92"/>
        <x:v/>
      </x:c>
      <x:c r="AM99" s="92"/>
      <x:c r="AN99" s="221"/>
      <x:c r="AO99" s="374" t="str">
        <x:f>IF($AP99="","",IF($AN99="세입없음","OK",IF(OR($AP99="재원확인",$AN99=""),"@@",IF(COUNTIF('3. 일입'!$AK$8:$AK$2000,$AN99),"OK","@@"))))</x:f>
        <x:v/>
      </x:c>
      <x:c r="AP99" s="356" t="str">
        <x:f t="shared" si="93"/>
        <x:v/>
      </x:c>
      <x:c r="AQ99" s="374" t="str">
        <x:f>IF(AND($AN99="",$AP99=""),"",IF(AND($AN99&lt;&gt;"",$AP99&lt;&gt;""),IF(AN99="세입없음","OK",IF(VLOOKUP($AN99,'3. 일입'!$AK$7:$AL$2000,2,FALSE)=$AP99,"OK","@@")),"@@"))</x:f>
        <x:v/>
      </x:c>
      <x:c r="AR99" s="93"/>
      <x:c r="AS99" s="533"/>
      <x:c r="AT99" s="374" t="str">
        <x:f>IF($AS99="","",IF($AS99="세입없음","OK",IF(COUNTIF('3. 일입'!$AN$8:$AN$2000,$AS99),"OK","@@")))</x:f>
        <x:v/>
      </x:c>
      <x:c r="AU99" s="356" t="str">
        <x:f t="shared" si="94"/>
        <x:v/>
      </x:c>
      <x:c r="AV99" s="374" t="str">
        <x:f t="shared" si="95"/>
        <x:v/>
      </x:c>
      <x:c r="AW99" s="93"/>
      <x:c r="AX99" s="348"/>
      <x:c r="AY99" s="29"/>
    </x:row>
    <x:row r="100" spans="1:51" s="20" customFormat="1" ht="80.099999999999994" customHeight="1">
      <x:c r="A100" s="155" t="str">
        <x:f>IF(D100="","",COUNTA($C$7:C100)-COUNTBLANK($C$7:C100)+6)</x:f>
        <x:v/>
      </x:c>
      <x:c r="B100" s="156" t="str">
        <x: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x:f>
        <x:v/>
      </x:c>
      <x:c r="C100" s="156" t="str">
        <x:f>IF(D100="","",IF(OR(D100="교육지원과",D100="총무과",D100="인사과"),"직접입력",VLOOKUP(D100,구분표!$A$3:$C$258,3,)))</x:f>
        <x:v/>
      </x:c>
      <x:c r="D100" s="219"/>
      <x:c r="E100" s="213"/>
      <x:c r="F100" s="388" t="str">
        <x:f t="shared" si="96"/>
        <x:v/>
      </x:c>
      <x:c r="G100" s="388" t="str">
        <x:f t="shared" si="96"/>
        <x:v/>
      </x:c>
      <x:c r="H100" s="213"/>
      <x:c r="I100" s="156" t="str">
        <x:f>IF(H100="","",VLOOKUP($H100,구분표!$K$3:$M$151,2,FALSE))</x:f>
        <x:v/>
      </x:c>
      <x:c r="J100" s="156" t="str">
        <x:f>IF(I100="","",VLOOKUP($H100,구분표!$K$3:$M$151,3,FALSE))</x:f>
        <x:v/>
      </x:c>
      <x:c r="K100" s="233"/>
      <x:c r="L100" s="233"/>
      <x:c r="M100" s="459" t="str">
        <x:f t="shared" si="97"/>
        <x:v/>
      </x:c>
      <x:c r="N100" s="459" t="str">
        <x:f t="shared" si="98"/>
        <x:v/>
      </x:c>
      <x:c r="O100" s="461" t="str">
        <x:f t="shared" si="79"/>
        <x:v/>
      </x:c>
      <x:c r="P100" s="460"/>
      <x:c r="Q100" s="461">
        <x:f t="shared" si="80"/>
        <x:v>0</x:v>
      </x:c>
      <x:c r="R100" s="462"/>
      <x:c r="S100" s="463">
        <x:f t="shared" si="81"/>
        <x:v>0</x:v>
      </x:c>
      <x:c r="T100" s="162" t="str">
        <x:f t="shared" si="82"/>
        <x:v>X</x:v>
      </x:c>
      <x:c r="U100" s="552"/>
      <x:c r="V100" s="331"/>
      <x:c r="W100" s="221"/>
      <x:c r="X100" s="223"/>
      <x:c r="Y100" s="334"/>
      <x:c r="Z100" s="334"/>
      <x:c r="AA100" s="29"/>
      <x:c r="AB100" s="486">
        <x:f t="shared" si="83"/>
        <x:v>0</x:v>
      </x:c>
      <x:c r="AC100" s="487">
        <x:f t="shared" si="84"/>
        <x:v>0</x:v>
      </x:c>
      <x:c r="AD100" s="487">
        <x:f t="shared" si="85"/>
        <x:v>0</x:v>
      </x:c>
      <x:c r="AE100" s="487">
        <x:f t="shared" si="86"/>
        <x:v>0</x:v>
      </x:c>
      <x:c r="AF100" s="374" t="str">
        <x:f t="shared" si="87"/>
        <x:v/>
      </x:c>
      <x:c r="AG100" s="93"/>
      <x:c r="AH100" s="488">
        <x:f t="shared" si="88"/>
        <x:v>0</x:v>
      </x:c>
      <x:c r="AI100" s="487">
        <x:f t="shared" si="89"/>
        <x:v>0</x:v>
      </x:c>
      <x:c r="AJ100" s="487">
        <x:f t="shared" si="90"/>
        <x:v>0</x:v>
      </x:c>
      <x:c r="AK100" s="487">
        <x:f t="shared" si="91"/>
        <x:v>0</x:v>
      </x:c>
      <x:c r="AL100" s="374" t="str">
        <x:f t="shared" si="92"/>
        <x:v/>
      </x:c>
      <x:c r="AM100" s="92"/>
      <x:c r="AN100" s="221"/>
      <x:c r="AO100" s="374" t="str">
        <x:f>IF($AP100="","",IF($AN100="세입없음","OK",IF(OR($AP100="재원확인",$AN100=""),"@@",IF(COUNTIF('3. 일입'!$AK$8:$AK$2000,$AN100),"OK","@@"))))</x:f>
        <x:v/>
      </x:c>
      <x:c r="AP100" s="356" t="str">
        <x:f t="shared" si="93"/>
        <x:v/>
      </x:c>
      <x:c r="AQ100" s="374" t="str">
        <x:f>IF(AND($AN100="",$AP100=""),"",IF(AND($AN100&lt;&gt;"",$AP100&lt;&gt;""),IF(AN100="세입없음","OK",IF(VLOOKUP($AN100,'3. 일입'!$AK$7:$AL$2000,2,FALSE)=$AP100,"OK","@@")),"@@"))</x:f>
        <x:v/>
      </x:c>
      <x:c r="AR100" s="93"/>
      <x:c r="AS100" s="533"/>
      <x:c r="AT100" s="374" t="str">
        <x:f>IF($AS100="","",IF($AS100="세입없음","OK",IF(COUNTIF('3. 일입'!$AN$8:$AN$2000,$AS100),"OK","@@")))</x:f>
        <x:v/>
      </x:c>
      <x:c r="AU100" s="356" t="str">
        <x:f t="shared" si="94"/>
        <x:v/>
      </x:c>
      <x:c r="AV100" s="374" t="str">
        <x:f t="shared" si="95"/>
        <x:v/>
      </x:c>
      <x:c r="AW100" s="93"/>
      <x:c r="AX100" s="348"/>
      <x:c r="AY100" s="29"/>
    </x:row>
    <x:row r="101" spans="1:51" s="20" customFormat="1" ht="80.099999999999994" customHeight="1">
      <x:c r="A101" s="155" t="str">
        <x:f>IF(D101="","",COUNTA($C$7:C101)-COUNTBLANK($C$7:C101)+6)</x:f>
        <x:v/>
      </x:c>
      <x:c r="B101" s="156" t="str">
        <x: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x:f>
        <x:v/>
      </x:c>
      <x:c r="C101" s="156" t="str">
        <x:f>IF(D101="","",IF(OR(D101="교육지원과",D101="총무과",D101="인사과"),"직접입력",VLOOKUP(D101,구분표!$A$3:$C$258,3,)))</x:f>
        <x:v/>
      </x:c>
      <x:c r="D101" s="219"/>
      <x:c r="E101" s="213"/>
      <x:c r="F101" s="388" t="str">
        <x:f t="shared" si="96"/>
        <x:v/>
      </x:c>
      <x:c r="G101" s="388" t="str">
        <x:f t="shared" si="96"/>
        <x:v/>
      </x:c>
      <x:c r="H101" s="213"/>
      <x:c r="I101" s="156" t="str">
        <x:f>IF(H101="","",VLOOKUP($H101,구분표!$K$3:$M$151,2,FALSE))</x:f>
        <x:v/>
      </x:c>
      <x:c r="J101" s="156" t="str">
        <x:f>IF(I101="","",VLOOKUP($H101,구분표!$K$3:$M$151,3,FALSE))</x:f>
        <x:v/>
      </x:c>
      <x:c r="K101" s="233"/>
      <x:c r="L101" s="233"/>
      <x:c r="M101" s="459" t="str">
        <x:f t="shared" si="97"/>
        <x:v/>
      </x:c>
      <x:c r="N101" s="459" t="str">
        <x:f t="shared" si="98"/>
        <x:v/>
      </x:c>
      <x:c r="O101" s="461" t="str">
        <x:f t="shared" si="79"/>
        <x:v/>
      </x:c>
      <x:c r="P101" s="460"/>
      <x:c r="Q101" s="461">
        <x:f t="shared" si="80"/>
        <x:v>0</x:v>
      </x:c>
      <x:c r="R101" s="462"/>
      <x:c r="S101" s="463">
        <x:f t="shared" si="81"/>
        <x:v>0</x:v>
      </x:c>
      <x:c r="T101" s="162" t="str">
        <x:f t="shared" si="82"/>
        <x:v>X</x:v>
      </x:c>
      <x:c r="U101" s="552"/>
      <x:c r="V101" s="331"/>
      <x:c r="W101" s="221"/>
      <x:c r="X101" s="223"/>
      <x:c r="Y101" s="334"/>
      <x:c r="Z101" s="334"/>
      <x:c r="AA101" s="29"/>
      <x:c r="AB101" s="486">
        <x:f t="shared" si="83"/>
        <x:v>0</x:v>
      </x:c>
      <x:c r="AC101" s="487">
        <x:f t="shared" si="84"/>
        <x:v>0</x:v>
      </x:c>
      <x:c r="AD101" s="487">
        <x:f t="shared" si="85"/>
        <x:v>0</x:v>
      </x:c>
      <x:c r="AE101" s="487">
        <x:f t="shared" si="86"/>
        <x:v>0</x:v>
      </x:c>
      <x:c r="AF101" s="374" t="str">
        <x:f t="shared" si="87"/>
        <x:v/>
      </x:c>
      <x:c r="AG101" s="93"/>
      <x:c r="AH101" s="488">
        <x:f t="shared" si="88"/>
        <x:v>0</x:v>
      </x:c>
      <x:c r="AI101" s="487">
        <x:f t="shared" si="89"/>
        <x:v>0</x:v>
      </x:c>
      <x:c r="AJ101" s="487">
        <x:f t="shared" si="90"/>
        <x:v>0</x:v>
      </x:c>
      <x:c r="AK101" s="487">
        <x:f t="shared" si="91"/>
        <x:v>0</x:v>
      </x:c>
      <x:c r="AL101" s="374" t="str">
        <x:f t="shared" si="92"/>
        <x:v/>
      </x:c>
      <x:c r="AM101" s="92"/>
      <x:c r="AN101" s="221"/>
      <x:c r="AO101" s="374" t="str">
        <x:f>IF($AP101="","",IF($AN101="세입없음","OK",IF(OR($AP101="재원확인",$AN101=""),"@@",IF(COUNTIF('3. 일입'!$AK$8:$AK$2000,$AN101),"OK","@@"))))</x:f>
        <x:v/>
      </x:c>
      <x:c r="AP101" s="356" t="str">
        <x:f t="shared" si="93"/>
        <x:v/>
      </x:c>
      <x:c r="AQ101" s="374" t="str">
        <x:f>IF(AND($AN101="",$AP101=""),"",IF(AND($AN101&lt;&gt;"",$AP101&lt;&gt;""),IF(AN101="세입없음","OK",IF(VLOOKUP($AN101,'3. 일입'!$AK$7:$AL$2000,2,FALSE)=$AP101,"OK","@@")),"@@"))</x:f>
        <x:v/>
      </x:c>
      <x:c r="AR101" s="93"/>
      <x:c r="AS101" s="533"/>
      <x:c r="AT101" s="374" t="str">
        <x:f>IF($AS101="","",IF($AS101="세입없음","OK",IF(COUNTIF('3. 일입'!$AN$8:$AN$2000,$AS101),"OK","@@")))</x:f>
        <x:v/>
      </x:c>
      <x:c r="AU101" s="356" t="str">
        <x:f t="shared" si="94"/>
        <x:v/>
      </x:c>
      <x:c r="AV101" s="374" t="str">
        <x:f t="shared" si="95"/>
        <x:v/>
      </x:c>
      <x:c r="AW101" s="93"/>
      <x:c r="AX101" s="348"/>
      <x:c r="AY101" s="29"/>
    </x:row>
    <x:row r="102" spans="1:51" s="20" customFormat="1" ht="80.099999999999994" customHeight="1">
      <x:c r="A102" s="155" t="str">
        <x:f>IF(D102="","",COUNTA($C$7:C102)-COUNTBLANK($C$7:C102)+6)</x:f>
        <x:v/>
      </x:c>
      <x:c r="B102" s="156" t="str">
        <x: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x:f>
        <x:v/>
      </x:c>
      <x:c r="C102" s="156" t="str">
        <x:f>IF(D102="","",IF(OR(D102="교육지원과",D102="총무과",D102="인사과"),"직접입력",VLOOKUP(D102,구분표!$A$3:$C$258,3,)))</x:f>
        <x:v/>
      </x:c>
      <x:c r="D102" s="219"/>
      <x:c r="E102" s="213"/>
      <x:c r="F102" s="388" t="str">
        <x:f t="shared" si="96"/>
        <x:v/>
      </x:c>
      <x:c r="G102" s="388" t="str">
        <x:f t="shared" si="96"/>
        <x:v/>
      </x:c>
      <x:c r="H102" s="213"/>
      <x:c r="I102" s="156" t="str">
        <x:f>IF(H102="","",VLOOKUP($H102,구분표!$K$3:$M$151,2,FALSE))</x:f>
        <x:v/>
      </x:c>
      <x:c r="J102" s="156" t="str">
        <x:f>IF(I102="","",VLOOKUP($H102,구분표!$K$3:$M$151,3,FALSE))</x:f>
        <x:v/>
      </x:c>
      <x:c r="K102" s="233"/>
      <x:c r="L102" s="233"/>
      <x:c r="M102" s="459" t="str">
        <x:f t="shared" si="97"/>
        <x:v/>
      </x:c>
      <x:c r="N102" s="459" t="str">
        <x:f t="shared" si="98"/>
        <x:v/>
      </x:c>
      <x:c r="O102" s="461" t="str">
        <x:f t="shared" si="79"/>
        <x:v/>
      </x:c>
      <x:c r="P102" s="460"/>
      <x:c r="Q102" s="461">
        <x:f t="shared" si="80"/>
        <x:v>0</x:v>
      </x:c>
      <x:c r="R102" s="462"/>
      <x:c r="S102" s="463">
        <x:f t="shared" si="81"/>
        <x:v>0</x:v>
      </x:c>
      <x:c r="T102" s="162" t="str">
        <x:f t="shared" si="82"/>
        <x:v>X</x:v>
      </x:c>
      <x:c r="U102" s="552"/>
      <x:c r="V102" s="331"/>
      <x:c r="W102" s="221"/>
      <x:c r="X102" s="223"/>
      <x:c r="Y102" s="334"/>
      <x:c r="Z102" s="334"/>
      <x:c r="AA102" s="29"/>
      <x:c r="AB102" s="486">
        <x:f t="shared" si="83"/>
        <x:v>0</x:v>
      </x:c>
      <x:c r="AC102" s="487">
        <x:f t="shared" si="84"/>
        <x:v>0</x:v>
      </x:c>
      <x:c r="AD102" s="487">
        <x:f t="shared" si="85"/>
        <x:v>0</x:v>
      </x:c>
      <x:c r="AE102" s="487">
        <x:f t="shared" si="86"/>
        <x:v>0</x:v>
      </x:c>
      <x:c r="AF102" s="374" t="str">
        <x:f t="shared" si="87"/>
        <x:v/>
      </x:c>
      <x:c r="AG102" s="93"/>
      <x:c r="AH102" s="488">
        <x:f t="shared" si="88"/>
        <x:v>0</x:v>
      </x:c>
      <x:c r="AI102" s="487">
        <x:f t="shared" si="89"/>
        <x:v>0</x:v>
      </x:c>
      <x:c r="AJ102" s="487">
        <x:f t="shared" si="90"/>
        <x:v>0</x:v>
      </x:c>
      <x:c r="AK102" s="487">
        <x:f t="shared" si="91"/>
        <x:v>0</x:v>
      </x:c>
      <x:c r="AL102" s="374" t="str">
        <x:f t="shared" si="92"/>
        <x:v/>
      </x:c>
      <x:c r="AM102" s="92"/>
      <x:c r="AN102" s="221"/>
      <x:c r="AO102" s="374" t="str">
        <x:f>IF($AP102="","",IF($AN102="세입없음","OK",IF(OR($AP102="재원확인",$AN102=""),"@@",IF(COUNTIF('3. 일입'!$AK$8:$AK$2000,$AN102),"OK","@@"))))</x:f>
        <x:v/>
      </x:c>
      <x:c r="AP102" s="356" t="str">
        <x:f t="shared" si="93"/>
        <x:v/>
      </x:c>
      <x:c r="AQ102" s="374" t="str">
        <x:f>IF(AND($AN102="",$AP102=""),"",IF(AND($AN102&lt;&gt;"",$AP102&lt;&gt;""),IF(AN102="세입없음","OK",IF(VLOOKUP($AN102,'3. 일입'!$AK$7:$AL$2000,2,FALSE)=$AP102,"OK","@@")),"@@"))</x:f>
        <x:v/>
      </x:c>
      <x:c r="AR102" s="93"/>
      <x:c r="AS102" s="533"/>
      <x:c r="AT102" s="374" t="str">
        <x:f>IF($AS102="","",IF($AS102="세입없음","OK",IF(COUNTIF('3. 일입'!$AN$8:$AN$2000,$AS102),"OK","@@")))</x:f>
        <x:v/>
      </x:c>
      <x:c r="AU102" s="356" t="str">
        <x:f t="shared" si="94"/>
        <x:v/>
      </x:c>
      <x:c r="AV102" s="374" t="str">
        <x:f t="shared" si="95"/>
        <x:v/>
      </x:c>
      <x:c r="AW102" s="93"/>
      <x:c r="AX102" s="348"/>
      <x:c r="AY102" s="29"/>
    </x:row>
    <x:row r="103" spans="1:51" s="345" customFormat="1" ht="60" customHeight="1">
      <x:c r="A103" s="337"/>
      <x:c r="B103" s="979" t="s">
        <x:v>1520</x:v>
      </x:c>
      <x:c r="C103" s="979"/>
      <x:c r="D103" s="979"/>
      <x:c r="E103" s="979"/>
      <x:c r="F103" s="979"/>
      <x:c r="G103" s="979"/>
      <x:c r="H103" s="338"/>
      <x:c r="I103" s="359"/>
      <x:c r="J103" s="359"/>
      <x:c r="K103" s="339"/>
      <x:c r="L103" s="340" t="str">
        <x:f>SUBTOTAL(3,$L104:$L118)&amp;"건"</x:f>
        <x:v>0건</x:v>
      </x:c>
      <x:c r="M103" s="476">
        <x:f t="shared" ref="M103:N103" si="99">SUBTOTAL(9,M104:M118)</x:f>
        <x:v>0</x:v>
      </x:c>
      <x:c r="N103" s="476">
        <x:f t="shared" si="99"/>
        <x:v>0</x:v>
      </x:c>
      <x:c r="O103" s="482">
        <x:f t="shared" ref="O103:S103" si="100">SUBTOTAL(9,O104:O118)</x:f>
        <x:v>0</x:v>
      </x:c>
      <x:c r="P103" s="482">
        <x:f t="shared" si="100"/>
        <x:v>0</x:v>
      </x:c>
      <x:c r="Q103" s="482">
        <x:f t="shared" si="100"/>
        <x:v>0</x:v>
      </x:c>
      <x:c r="R103" s="482">
        <x:f t="shared" si="100"/>
        <x:v>0</x:v>
      </x:c>
      <x:c r="S103" s="482">
        <x:f t="shared" si="100"/>
        <x:v>0</x:v>
      </x:c>
      <x:c r="T103" s="337"/>
      <x:c r="U103" s="551"/>
      <x:c r="V103" s="341"/>
      <x:c r="W103" s="342"/>
      <x:c r="X103" s="343"/>
      <x:c r="Y103" s="343"/>
      <x:c r="Z103" s="343"/>
      <x:c r="AA103" s="344"/>
      <x:c r="AB103" s="483">
        <x:f>SUBTOTAL(9,AB104:AB118)</x:f>
        <x:v>0</x:v>
      </x:c>
      <x:c r="AC103" s="483">
        <x:f>SUBTOTAL(9,AC104:AC118)</x:f>
        <x:v>0</x:v>
      </x:c>
      <x:c r="AD103" s="483">
        <x:f>SUBTOTAL(9,AD104:AD118)</x:f>
        <x:v>0</x:v>
      </x:c>
      <x:c r="AE103" s="483">
        <x:f>SUBTOTAL(9,AE104:AE118)</x:f>
        <x:v>0</x:v>
      </x:c>
      <x:c r="AF103" s="554" t="str">
        <x:f>IF(COUNTIF(AF104:AF118,"@@")&gt;0,"@@","OK")</x:f>
        <x:v>OK</x:v>
      </x:c>
      <x:c r="AG103" s="344"/>
      <x:c r="AH103" s="483">
        <x:f>SUBTOTAL(9,AH104:AH118)</x:f>
        <x:v>0</x:v>
      </x:c>
      <x:c r="AI103" s="483">
        <x:f>SUBTOTAL(9,AI104:AI118)</x:f>
        <x:v>0</x:v>
      </x:c>
      <x:c r="AJ103" s="483">
        <x:f>SUBTOTAL(9,AJ104:AJ118)</x:f>
        <x:v>0</x:v>
      </x:c>
      <x:c r="AK103" s="483">
        <x:f>SUBTOTAL(9,AK104:AK118)</x:f>
        <x:v>0</x:v>
      </x:c>
      <x:c r="AL103" s="554" t="str">
        <x:f>IF(COUNTIF(AL104:AL118,"@@")&gt;0,"@@","OK")</x:f>
        <x:v>OK</x:v>
      </x:c>
      <x:c r="AM103" s="344"/>
      <x:c r="AN103" s="343"/>
      <x:c r="AO103" s="554" t="str">
        <x:f>IF(COUNTIF(AO104:AO118,"@@")&gt;0,"@@","OK")</x:f>
        <x:v>OK</x:v>
      </x:c>
      <x:c r="AP103" s="343"/>
      <x:c r="AQ103" s="554" t="str">
        <x:f>IF(COUNTIF(AQ104:AQ118,"@@")&gt;0,"@@","OK")</x:f>
        <x:v>OK</x:v>
      </x:c>
      <x:c r="AR103" s="344"/>
      <x:c r="AS103" s="343"/>
      <x:c r="AT103" s="554" t="str">
        <x:f>IF(COUNTIF(AT104:AT118,"@@")&gt;0,"@@","OK")</x:f>
        <x:v>OK</x:v>
      </x:c>
      <x:c r="AU103" s="343"/>
      <x:c r="AV103" s="554" t="str">
        <x:f>IF(COUNTIF(AV104:AV118,"@@")&gt;0,"@@","OK")</x:f>
        <x:v>OK</x:v>
      </x:c>
      <x:c r="AW103" s="344"/>
      <x:c r="AX103" s="343"/>
      <x:c r="AY103" s="344"/>
    </x:row>
    <x:row r="104" spans="1:51" ht="80.099999999999994" customHeight="1">
      <x:c r="A104" s="155" t="str">
        <x:f>IF(D104="","",COUNTA($C$7:C104)-COUNTBLANK($C$7:C104)+7)</x:f>
        <x:v/>
      </x:c>
      <x:c r="B104" s="156" t="str">
        <x: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x:f>
        <x:v/>
      </x:c>
      <x:c r="C104" s="156" t="str">
        <x:f>IF(D104="","",IF(OR(D104="교육지원과",D104="총무과",D104="인사과"),"직접입력",VLOOKUP(D104,구분표!$A$3:$C$258,3,)))</x:f>
        <x:v/>
      </x:c>
      <x:c r="D104" s="219"/>
      <x:c r="E104" s="213"/>
      <x:c r="F104" s="388" t="str">
        <x:f>IF($E104="","",IF($E104="2추","직접입력","-"))</x:f>
        <x:v/>
      </x:c>
      <x:c r="G104" s="388" t="str">
        <x:f>IF($E104="","",IF($E104="2추","직접입력","-"))</x:f>
        <x:v/>
      </x:c>
      <x:c r="H104" s="213"/>
      <x:c r="I104" s="156" t="str">
        <x:f>IF(H104="","",VLOOKUP($H104,구분표!$K$3:$M$151,2,FALSE))</x:f>
        <x:v/>
      </x:c>
      <x:c r="J104" s="156" t="str">
        <x:f>IF(I104="","",VLOOKUP($H104,구분표!$K$3:$M$151,3,FALSE))</x:f>
        <x:v/>
      </x:c>
      <x:c r="K104" s="233"/>
      <x:c r="L104" s="233"/>
      <x:c r="M104" s="459" t="str">
        <x:f>IF($E104="","",IF(OR($E104="2추",$E104="1추",$E104="본예산"),"금액입력","-"))</x:f>
        <x:v/>
      </x:c>
      <x:c r="N104" s="459" t="str">
        <x:f>IF($E104="","",IF($E104="2추","금액입력","-"))</x:f>
        <x:v/>
      </x:c>
      <x:c r="O104" s="461" t="str">
        <x:f t="shared" ref="O104:O118" si="101">IF($E104="","",SUM(M104:N104))</x:f>
        <x:v/>
      </x:c>
      <x:c r="P104" s="460"/>
      <x:c r="Q104" s="461">
        <x:f t="shared" ref="Q104:Q118" si="102">SUM(O104:P104)</x:f>
        <x:v>0</x:v>
      </x:c>
      <x:c r="R104" s="462"/>
      <x:c r="S104" s="463">
        <x:f t="shared" ref="S104:S118" si="103">SUM(O104,R104)</x:f>
        <x:v>0</x:v>
      </x:c>
      <x:c r="T104" s="162" t="str">
        <x:f t="shared" ref="T104:T118" si="104">IF(AND((Q104=0),(S104&gt;0)),"O",IF(AND((P104&lt;0),(Q104-S104&lt;0)),"O","X"))</x:f>
        <x:v>X</x:v>
      </x:c>
      <x:c r="U104" s="552"/>
      <x:c r="V104" s="331"/>
      <x:c r="W104" s="221"/>
      <x:c r="X104" s="223"/>
      <x:c r="Y104" s="334"/>
      <x:c r="Z104" s="334"/>
      <x:c r="AA104" s="29"/>
      <x:c r="AB104" s="486">
        <x:f t="shared" ref="AB104:AB118" si="105">IF($P104="",0,IF($P104&lt;&gt;0,"재원입력필요",0))</x:f>
        <x:v>0</x:v>
      </x:c>
      <x:c r="AC104" s="487">
        <x:f t="shared" ref="AC104:AC118" si="106">IF($P104="",0,IF(AND(ISNUMBER($AB104),ISNUMBER(AD104),ISNUMBER(AE104)),$P104-$AB104-$AD104-$AE104,0))</x:f>
        <x:v>0</x:v>
      </x:c>
      <x:c r="AD104" s="487">
        <x:f t="shared" ref="AD104:AD118" si="107">IF($P104="",0,IF(COUNT(FIND("(지방채)",$L104))&gt;0,"재원입력필요",0))</x:f>
        <x:v>0</x:v>
      </x:c>
      <x:c r="AE104" s="487">
        <x:f t="shared" ref="AE104:AE118" si="108">IF($P104="",0,IF(COUNT(FIND("(지역개발기금)",$L104))&gt;0,"재원입력필요",0))</x:f>
        <x:v>0</x:v>
      </x:c>
      <x:c r="AF104" s="374" t="str">
        <x:f t="shared" ref="AF104:AF118" si="109">IF($P104="",IF(SUM($AB104:$AE104)=0,"","@@"),IF(AND($P104=SUM($AB104:$AE104),$Q104&gt;=0),"OK","@@"))</x:f>
        <x:v/>
      </x:c>
      <x:c r="AG104" s="93"/>
      <x:c r="AH104" s="488">
        <x:f t="shared" ref="AH104:AH118" si="110">IF($R104="",0,IF($R104&lt;&gt;0,"재원입력필요",0))</x:f>
        <x:v>0</x:v>
      </x:c>
      <x:c r="AI104" s="487">
        <x:f t="shared" ref="AI104:AI118" si="111">IF($R104="",0,IF(AND(ISNUMBER($AH104),ISNUMBER($AJ104),ISNUMBER($AK104)),$R104-$AH104-$AJ104-$AK104,0))</x:f>
        <x:v>0</x:v>
      </x:c>
      <x:c r="AJ104" s="487">
        <x:f t="shared" ref="AJ104:AJ118" si="112">IF($R104="",0,IF(COUNT(FIND("(지방채)",$L104))&gt;0,"재원입력필요",0))</x:f>
        <x:v>0</x:v>
      </x:c>
      <x:c r="AK104" s="487">
        <x:f t="shared" ref="AK104:AK118" si="113">IF($R104="",0,IF(COUNT(FIND("(지역개발기금)",$L104))&gt;0,"재원입력필요",0))</x:f>
        <x:v>0</x:v>
      </x:c>
      <x:c r="AL104" s="374" t="str">
        <x:f t="shared" ref="AL104:AL118" si="114">IF($R104="",IF(SUM($AH104:$AK104)=0,"","@@"),IF(AND($R104=SUM($AH104:$AK104),$S104&gt;=0),"OK","@@"))</x:f>
        <x:v/>
      </x:c>
      <x:c r="AM104" s="92"/>
      <x:c r="AN104" s="221"/>
      <x:c r="AO104" s="374" t="str">
        <x:f>IF($AP104="","",IF($AN104="세입없음","OK",IF(OR($AP104="재원확인",$AN104=""),"@@",IF(COUNTIF('3. 일입'!$AK$8:$AK$2000,$AN104),"OK","@@"))))</x:f>
        <x:v/>
      </x:c>
      <x:c r="AP104" s="356" t="str">
        <x:f t="shared" ref="AP104:AP118" si="115">IF($K104="","",IF(COUNT(FIND("국비/",$K104)),"국비",IF(COUNT(FIND("균특/",$K104)),"균특",IF(COUNT(FIND("기금/",$K104)),"기금",IF(COUNT(FIND("교부세/",$K104)),"특교",IF(COUNT(FIND("소방안전/",$K104)),"소교",IF(COUNT(FIND("소멸대응/",$K104)),"소멸","재원확인")))))))</x:f>
        <x:v/>
      </x:c>
      <x:c r="AQ104" s="374" t="str">
        <x:f>IF(AND($AN104="",$AP104=""),"",IF(AND($AN104&lt;&gt;"",$AP104&lt;&gt;""),IF(AN104="세입없음","OK",IF(VLOOKUP($AN104,'3. 일입'!$AK$7:$AL$2000,2,FALSE)=$AP104,"OK","@@")),"@@"))</x:f>
        <x:v/>
      </x:c>
      <x:c r="AR104" s="93"/>
      <x:c r="AS104" s="533"/>
      <x:c r="AT104" s="374" t="str">
        <x:f>IF($AS104="","",IF($AS104="세입없음","OK",IF(COUNTIF('3. 일입'!$AN$8:$AN$2000,$AS104),"OK","@@")))</x:f>
        <x:v/>
      </x:c>
      <x:c r="AU104" s="356" t="str">
        <x:f t="shared" ref="AU104:AU118" si="116">IF($L104="","",IF(COUNT(FIND("(지역개발기금)",$L104)),"지역개발기금",IF(COUNT(FIND("지방채",$L104)),"지방채","자체")))</x:f>
        <x:v/>
      </x:c>
      <x:c r="AV104" s="374" t="str">
        <x:f t="shared" ref="AV104:AV118" si="117">IF($AS104="",IF($AU104="","",IF($AU104="자체","OK","@@")),IF($AS104="세입없음","OK",IF($AU104="","@@",IF(ISNUMBER(FIND($AU104,$AS104)),"OK","@@"))))</x:f>
        <x:v/>
      </x:c>
      <x:c r="AW104" s="93"/>
      <x:c r="AX104" s="348"/>
      <x:c r="AY104" s="28"/>
    </x:row>
    <x:row r="105" spans="1:51" s="20" customFormat="1" ht="80.099999999999994" customHeight="1">
      <x:c r="A105" s="155" t="str">
        <x:f>IF(D105="","",COUNTA($C$7:C105)-COUNTBLANK($C$7:C105)+7)</x:f>
        <x:v/>
      </x:c>
      <x:c r="B105" s="156" t="str">
        <x: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x:f>
        <x:v/>
      </x:c>
      <x:c r="C105" s="156" t="str">
        <x:f>IF(D105="","",IF(OR(D105="교육지원과",D105="총무과",D105="인사과"),"직접입력",VLOOKUP(D105,구분표!$A$3:$C$258,3,)))</x:f>
        <x:v/>
      </x:c>
      <x:c r="D105" s="219"/>
      <x:c r="E105" s="213"/>
      <x:c r="F105" s="388" t="str">
        <x:f t="shared" ref="F105:G118" si="118">IF($E105="","",IF($E105="2추","직접입력","-"))</x:f>
        <x:v/>
      </x:c>
      <x:c r="G105" s="388" t="str">
        <x:f t="shared" si="118"/>
        <x:v/>
      </x:c>
      <x:c r="H105" s="213"/>
      <x:c r="I105" s="156" t="str">
        <x:f>IF(H105="","",VLOOKUP($H105,구분표!$K$3:$M$151,2,FALSE))</x:f>
        <x:v/>
      </x:c>
      <x:c r="J105" s="156" t="str">
        <x:f>IF(I105="","",VLOOKUP($H105,구분표!$K$3:$M$151,3,FALSE))</x:f>
        <x:v/>
      </x:c>
      <x:c r="K105" s="233"/>
      <x:c r="L105" s="233"/>
      <x:c r="M105" s="459" t="str">
        <x:f t="shared" ref="M105:M118" si="119">IF($E105="","",IF(OR($E105="2추",$E105="1추",$E105="본예산"),"금액입력","-"))</x:f>
        <x:v/>
      </x:c>
      <x:c r="N105" s="459" t="str">
        <x:f t="shared" ref="N105:N118" si="120">IF($E105="","",IF($E105="2추","금액입력","-"))</x:f>
        <x:v/>
      </x:c>
      <x:c r="O105" s="461" t="str">
        <x:f t="shared" si="101"/>
        <x:v/>
      </x:c>
      <x:c r="P105" s="460"/>
      <x:c r="Q105" s="461">
        <x:f t="shared" si="102"/>
        <x:v>0</x:v>
      </x:c>
      <x:c r="R105" s="462"/>
      <x:c r="S105" s="463">
        <x:f t="shared" si="103"/>
        <x:v>0</x:v>
      </x:c>
      <x:c r="T105" s="162" t="str">
        <x:f t="shared" si="104"/>
        <x:v>X</x:v>
      </x:c>
      <x:c r="U105" s="552"/>
      <x:c r="V105" s="331"/>
      <x:c r="W105" s="221"/>
      <x:c r="X105" s="223"/>
      <x:c r="Y105" s="334"/>
      <x:c r="Z105" s="334"/>
      <x:c r="AA105" s="29"/>
      <x:c r="AB105" s="486">
        <x:f t="shared" si="105"/>
        <x:v>0</x:v>
      </x:c>
      <x:c r="AC105" s="487">
        <x:f t="shared" si="106"/>
        <x:v>0</x:v>
      </x:c>
      <x:c r="AD105" s="487">
        <x:f t="shared" si="107"/>
        <x:v>0</x:v>
      </x:c>
      <x:c r="AE105" s="487">
        <x:f t="shared" si="108"/>
        <x:v>0</x:v>
      </x:c>
      <x:c r="AF105" s="374" t="str">
        <x:f t="shared" si="109"/>
        <x:v/>
      </x:c>
      <x:c r="AG105" s="93"/>
      <x:c r="AH105" s="488">
        <x:f t="shared" si="110"/>
        <x:v>0</x:v>
      </x:c>
      <x:c r="AI105" s="487">
        <x:f t="shared" si="111"/>
        <x:v>0</x:v>
      </x:c>
      <x:c r="AJ105" s="487">
        <x:f t="shared" si="112"/>
        <x:v>0</x:v>
      </x:c>
      <x:c r="AK105" s="487">
        <x:f t="shared" si="113"/>
        <x:v>0</x:v>
      </x:c>
      <x:c r="AL105" s="374" t="str">
        <x:f t="shared" si="114"/>
        <x:v/>
      </x:c>
      <x:c r="AM105" s="92"/>
      <x:c r="AN105" s="221"/>
      <x:c r="AO105" s="374" t="str">
        <x:f>IF($AP105="","",IF($AN105="세입없음","OK",IF(OR($AP105="재원확인",$AN105=""),"@@",IF(COUNTIF('3. 일입'!$AK$8:$AK$2000,$AN105),"OK","@@"))))</x:f>
        <x:v/>
      </x:c>
      <x:c r="AP105" s="356" t="str">
        <x:f t="shared" si="115"/>
        <x:v/>
      </x:c>
      <x:c r="AQ105" s="374" t="str">
        <x:f>IF(AND($AN105="",$AP105=""),"",IF(AND($AN105&lt;&gt;"",$AP105&lt;&gt;""),IF(AN105="세입없음","OK",IF(VLOOKUP($AN105,'3. 일입'!$AK$7:$AL$2000,2,FALSE)=$AP105,"OK","@@")),"@@"))</x:f>
        <x:v/>
      </x:c>
      <x:c r="AR105" s="93"/>
      <x:c r="AS105" s="533"/>
      <x:c r="AT105" s="374" t="str">
        <x:f>IF($AS105="","",IF($AS105="세입없음","OK",IF(COUNTIF('3. 일입'!$AN$8:$AN$2000,$AS105),"OK","@@")))</x:f>
        <x:v/>
      </x:c>
      <x:c r="AU105" s="356" t="str">
        <x:f t="shared" si="116"/>
        <x:v/>
      </x:c>
      <x:c r="AV105" s="374" t="str">
        <x:f t="shared" si="117"/>
        <x:v/>
      </x:c>
      <x:c r="AW105" s="93"/>
      <x:c r="AX105" s="348"/>
      <x:c r="AY105" s="29"/>
    </x:row>
    <x:row r="106" spans="1:51" s="20" customFormat="1" ht="80.099999999999994" customHeight="1">
      <x:c r="A106" s="155" t="str">
        <x:f>IF(D106="","",COUNTA($C$7:C106)-COUNTBLANK($C$7:C106)+7)</x:f>
        <x:v/>
      </x:c>
      <x:c r="B106" s="156" t="str">
        <x: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x:f>
        <x:v/>
      </x:c>
      <x:c r="C106" s="156" t="str">
        <x:f>IF(D106="","",IF(OR(D106="교육지원과",D106="총무과",D106="인사과"),"직접입력",VLOOKUP(D106,구분표!$A$3:$C$258,3,)))</x:f>
        <x:v/>
      </x:c>
      <x:c r="D106" s="219"/>
      <x:c r="E106" s="213"/>
      <x:c r="F106" s="388" t="str">
        <x:f t="shared" si="118"/>
        <x:v/>
      </x:c>
      <x:c r="G106" s="388" t="str">
        <x:f t="shared" si="118"/>
        <x:v/>
      </x:c>
      <x:c r="H106" s="213"/>
      <x:c r="I106" s="156" t="str">
        <x:f>IF(H106="","",VLOOKUP($H106,구분표!$K$3:$M$151,2,FALSE))</x:f>
        <x:v/>
      </x:c>
      <x:c r="J106" s="156" t="str">
        <x:f>IF(I106="","",VLOOKUP($H106,구분표!$K$3:$M$151,3,FALSE))</x:f>
        <x:v/>
      </x:c>
      <x:c r="K106" s="233"/>
      <x:c r="L106" s="233"/>
      <x:c r="M106" s="459" t="str">
        <x:f t="shared" si="119"/>
        <x:v/>
      </x:c>
      <x:c r="N106" s="459" t="str">
        <x:f t="shared" si="120"/>
        <x:v/>
      </x:c>
      <x:c r="O106" s="461" t="str">
        <x:f t="shared" si="101"/>
        <x:v/>
      </x:c>
      <x:c r="P106" s="460"/>
      <x:c r="Q106" s="461">
        <x:f t="shared" si="102"/>
        <x:v>0</x:v>
      </x:c>
      <x:c r="R106" s="462"/>
      <x:c r="S106" s="463">
        <x:f t="shared" si="103"/>
        <x:v>0</x:v>
      </x:c>
      <x:c r="T106" s="162" t="str">
        <x:f t="shared" si="104"/>
        <x:v>X</x:v>
      </x:c>
      <x:c r="U106" s="552"/>
      <x:c r="V106" s="331"/>
      <x:c r="W106" s="221"/>
      <x:c r="X106" s="223"/>
      <x:c r="Y106" s="334"/>
      <x:c r="Z106" s="334"/>
      <x:c r="AA106" s="29"/>
      <x:c r="AB106" s="486">
        <x:f t="shared" si="105"/>
        <x:v>0</x:v>
      </x:c>
      <x:c r="AC106" s="487">
        <x:f t="shared" si="106"/>
        <x:v>0</x:v>
      </x:c>
      <x:c r="AD106" s="487">
        <x:f t="shared" si="107"/>
        <x:v>0</x:v>
      </x:c>
      <x:c r="AE106" s="487">
        <x:f t="shared" si="108"/>
        <x:v>0</x:v>
      </x:c>
      <x:c r="AF106" s="374" t="str">
        <x:f t="shared" si="109"/>
        <x:v/>
      </x:c>
      <x:c r="AG106" s="93"/>
      <x:c r="AH106" s="488">
        <x:f t="shared" si="110"/>
        <x:v>0</x:v>
      </x:c>
      <x:c r="AI106" s="487">
        <x:f t="shared" si="111"/>
        <x:v>0</x:v>
      </x:c>
      <x:c r="AJ106" s="487">
        <x:f t="shared" si="112"/>
        <x:v>0</x:v>
      </x:c>
      <x:c r="AK106" s="487">
        <x:f t="shared" si="113"/>
        <x:v>0</x:v>
      </x:c>
      <x:c r="AL106" s="374" t="str">
        <x:f t="shared" si="114"/>
        <x:v/>
      </x:c>
      <x:c r="AM106" s="92"/>
      <x:c r="AN106" s="221"/>
      <x:c r="AO106" s="374" t="str">
        <x:f>IF($AP106="","",IF($AN106="세입없음","OK",IF(OR($AP106="재원확인",$AN106=""),"@@",IF(COUNTIF('3. 일입'!$AK$8:$AK$2000,$AN106),"OK","@@"))))</x:f>
        <x:v/>
      </x:c>
      <x:c r="AP106" s="356" t="str">
        <x:f t="shared" si="115"/>
        <x:v/>
      </x:c>
      <x:c r="AQ106" s="374" t="str">
        <x:f>IF(AND($AN106="",$AP106=""),"",IF(AND($AN106&lt;&gt;"",$AP106&lt;&gt;""),IF(AN106="세입없음","OK",IF(VLOOKUP($AN106,'3. 일입'!$AK$7:$AL$2000,2,FALSE)=$AP106,"OK","@@")),"@@"))</x:f>
        <x:v/>
      </x:c>
      <x:c r="AR106" s="93"/>
      <x:c r="AS106" s="533"/>
      <x:c r="AT106" s="374" t="str">
        <x:f>IF($AS106="","",IF($AS106="세입없음","OK",IF(COUNTIF('3. 일입'!$AN$8:$AN$2000,$AS106),"OK","@@")))</x:f>
        <x:v/>
      </x:c>
      <x:c r="AU106" s="356" t="str">
        <x:f t="shared" si="116"/>
        <x:v/>
      </x:c>
      <x:c r="AV106" s="374" t="str">
        <x:f t="shared" si="117"/>
        <x:v/>
      </x:c>
      <x:c r="AW106" s="93"/>
      <x:c r="AX106" s="348"/>
      <x:c r="AY106" s="29"/>
    </x:row>
    <x:row r="107" spans="1:51" s="20" customFormat="1" ht="80.099999999999994" customHeight="1">
      <x:c r="A107" s="155" t="str">
        <x:f>IF(D107="","",COUNTA($C$7:C107)-COUNTBLANK($C$7:C107)+7)</x:f>
        <x:v/>
      </x:c>
      <x:c r="B107" s="156" t="str">
        <x: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x:f>
        <x:v/>
      </x:c>
      <x:c r="C107" s="156" t="str">
        <x:f>IF(D107="","",IF(OR(D107="교육지원과",D107="총무과",D107="인사과"),"직접입력",VLOOKUP(D107,구분표!$A$3:$C$258,3,)))</x:f>
        <x:v/>
      </x:c>
      <x:c r="D107" s="219"/>
      <x:c r="E107" s="213"/>
      <x:c r="F107" s="388" t="str">
        <x:f t="shared" si="118"/>
        <x:v/>
      </x:c>
      <x:c r="G107" s="388" t="str">
        <x:f t="shared" si="118"/>
        <x:v/>
      </x:c>
      <x:c r="H107" s="213"/>
      <x:c r="I107" s="156" t="str">
        <x:f>IF(H107="","",VLOOKUP($H107,구분표!$K$3:$M$151,2,FALSE))</x:f>
        <x:v/>
      </x:c>
      <x:c r="J107" s="156" t="str">
        <x:f>IF(I107="","",VLOOKUP($H107,구분표!$K$3:$M$151,3,FALSE))</x:f>
        <x:v/>
      </x:c>
      <x:c r="K107" s="233"/>
      <x:c r="L107" s="233"/>
      <x:c r="M107" s="459" t="str">
        <x:f t="shared" si="119"/>
        <x:v/>
      </x:c>
      <x:c r="N107" s="459" t="str">
        <x:f t="shared" si="120"/>
        <x:v/>
      </x:c>
      <x:c r="O107" s="461" t="str">
        <x:f t="shared" si="101"/>
        <x:v/>
      </x:c>
      <x:c r="P107" s="460"/>
      <x:c r="Q107" s="461">
        <x:f t="shared" si="102"/>
        <x:v>0</x:v>
      </x:c>
      <x:c r="R107" s="462"/>
      <x:c r="S107" s="463">
        <x:f t="shared" si="103"/>
        <x:v>0</x:v>
      </x:c>
      <x:c r="T107" s="162" t="str">
        <x:f t="shared" si="104"/>
        <x:v>X</x:v>
      </x:c>
      <x:c r="U107" s="552"/>
      <x:c r="V107" s="331"/>
      <x:c r="W107" s="221"/>
      <x:c r="X107" s="223"/>
      <x:c r="Y107" s="334"/>
      <x:c r="Z107" s="334"/>
      <x:c r="AA107" s="29"/>
      <x:c r="AB107" s="486">
        <x:f t="shared" si="105"/>
        <x:v>0</x:v>
      </x:c>
      <x:c r="AC107" s="487">
        <x:f t="shared" si="106"/>
        <x:v>0</x:v>
      </x:c>
      <x:c r="AD107" s="487">
        <x:f t="shared" si="107"/>
        <x:v>0</x:v>
      </x:c>
      <x:c r="AE107" s="487">
        <x:f t="shared" si="108"/>
        <x:v>0</x:v>
      </x:c>
      <x:c r="AF107" s="374" t="str">
        <x:f t="shared" si="109"/>
        <x:v/>
      </x:c>
      <x:c r="AG107" s="93"/>
      <x:c r="AH107" s="488">
        <x:f t="shared" si="110"/>
        <x:v>0</x:v>
      </x:c>
      <x:c r="AI107" s="487">
        <x:f t="shared" si="111"/>
        <x:v>0</x:v>
      </x:c>
      <x:c r="AJ107" s="487">
        <x:f t="shared" si="112"/>
        <x:v>0</x:v>
      </x:c>
      <x:c r="AK107" s="487">
        <x:f t="shared" si="113"/>
        <x:v>0</x:v>
      </x:c>
      <x:c r="AL107" s="374" t="str">
        <x:f t="shared" si="114"/>
        <x:v/>
      </x:c>
      <x:c r="AM107" s="92"/>
      <x:c r="AN107" s="221"/>
      <x:c r="AO107" s="374" t="str">
        <x:f>IF($AP107="","",IF($AN107="세입없음","OK",IF(OR($AP107="재원확인",$AN107=""),"@@",IF(COUNTIF('3. 일입'!$AK$8:$AK$2000,$AN107),"OK","@@"))))</x:f>
        <x:v/>
      </x:c>
      <x:c r="AP107" s="356" t="str">
        <x:f t="shared" si="115"/>
        <x:v/>
      </x:c>
      <x:c r="AQ107" s="374" t="str">
        <x:f>IF(AND($AN107="",$AP107=""),"",IF(AND($AN107&lt;&gt;"",$AP107&lt;&gt;""),IF(AN107="세입없음","OK",IF(VLOOKUP($AN107,'3. 일입'!$AK$7:$AL$2000,2,FALSE)=$AP107,"OK","@@")),"@@"))</x:f>
        <x:v/>
      </x:c>
      <x:c r="AR107" s="93"/>
      <x:c r="AS107" s="533"/>
      <x:c r="AT107" s="374" t="str">
        <x:f>IF($AS107="","",IF($AS107="세입없음","OK",IF(COUNTIF('3. 일입'!$AN$8:$AN$2000,$AS107),"OK","@@")))</x:f>
        <x:v/>
      </x:c>
      <x:c r="AU107" s="356" t="str">
        <x:f t="shared" si="116"/>
        <x:v/>
      </x:c>
      <x:c r="AV107" s="374" t="str">
        <x:f t="shared" si="117"/>
        <x:v/>
      </x:c>
      <x:c r="AW107" s="93"/>
      <x:c r="AX107" s="348"/>
      <x:c r="AY107" s="29"/>
    </x:row>
    <x:row r="108" spans="1:51" s="20" customFormat="1" ht="80.099999999999994" customHeight="1">
      <x:c r="A108" s="155" t="str">
        <x:f>IF(D108="","",COUNTA($C$7:C108)-COUNTBLANK($C$7:C108)+7)</x:f>
        <x:v/>
      </x:c>
      <x:c r="B108" s="156" t="str">
        <x: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x:f>
        <x:v/>
      </x:c>
      <x:c r="C108" s="156" t="str">
        <x:f>IF(D108="","",IF(OR(D108="교육지원과",D108="총무과",D108="인사과"),"직접입력",VLOOKUP(D108,구분표!$A$3:$C$258,3,)))</x:f>
        <x:v/>
      </x:c>
      <x:c r="D108" s="219"/>
      <x:c r="E108" s="213"/>
      <x:c r="F108" s="388" t="str">
        <x:f t="shared" si="118"/>
        <x:v/>
      </x:c>
      <x:c r="G108" s="388" t="str">
        <x:f t="shared" si="118"/>
        <x:v/>
      </x:c>
      <x:c r="H108" s="213"/>
      <x:c r="I108" s="156" t="str">
        <x:f>IF(H108="","",VLOOKUP($H108,구분표!$K$3:$M$151,2,FALSE))</x:f>
        <x:v/>
      </x:c>
      <x:c r="J108" s="156" t="str">
        <x:f>IF(I108="","",VLOOKUP($H108,구분표!$K$3:$M$151,3,FALSE))</x:f>
        <x:v/>
      </x:c>
      <x:c r="K108" s="233"/>
      <x:c r="L108" s="233"/>
      <x:c r="M108" s="459" t="str">
        <x:f t="shared" si="119"/>
        <x:v/>
      </x:c>
      <x:c r="N108" s="459" t="str">
        <x:f t="shared" si="120"/>
        <x:v/>
      </x:c>
      <x:c r="O108" s="461" t="str">
        <x:f t="shared" si="101"/>
        <x:v/>
      </x:c>
      <x:c r="P108" s="460"/>
      <x:c r="Q108" s="461">
        <x:f t="shared" si="102"/>
        <x:v>0</x:v>
      </x:c>
      <x:c r="R108" s="462"/>
      <x:c r="S108" s="463">
        <x:f t="shared" si="103"/>
        <x:v>0</x:v>
      </x:c>
      <x:c r="T108" s="162" t="str">
        <x:f t="shared" si="104"/>
        <x:v>X</x:v>
      </x:c>
      <x:c r="U108" s="552"/>
      <x:c r="V108" s="331"/>
      <x:c r="W108" s="221"/>
      <x:c r="X108" s="223"/>
      <x:c r="Y108" s="334"/>
      <x:c r="Z108" s="334"/>
      <x:c r="AA108" s="29"/>
      <x:c r="AB108" s="486">
        <x:f t="shared" si="105"/>
        <x:v>0</x:v>
      </x:c>
      <x:c r="AC108" s="487">
        <x:f t="shared" si="106"/>
        <x:v>0</x:v>
      </x:c>
      <x:c r="AD108" s="487">
        <x:f t="shared" si="107"/>
        <x:v>0</x:v>
      </x:c>
      <x:c r="AE108" s="487">
        <x:f t="shared" si="108"/>
        <x:v>0</x:v>
      </x:c>
      <x:c r="AF108" s="374" t="str">
        <x:f t="shared" si="109"/>
        <x:v/>
      </x:c>
      <x:c r="AG108" s="93"/>
      <x:c r="AH108" s="488">
        <x:f t="shared" si="110"/>
        <x:v>0</x:v>
      </x:c>
      <x:c r="AI108" s="487">
        <x:f t="shared" si="111"/>
        <x:v>0</x:v>
      </x:c>
      <x:c r="AJ108" s="487">
        <x:f t="shared" si="112"/>
        <x:v>0</x:v>
      </x:c>
      <x:c r="AK108" s="487">
        <x:f t="shared" si="113"/>
        <x:v>0</x:v>
      </x:c>
      <x:c r="AL108" s="374" t="str">
        <x:f t="shared" si="114"/>
        <x:v/>
      </x:c>
      <x:c r="AM108" s="92"/>
      <x:c r="AN108" s="221"/>
      <x:c r="AO108" s="374" t="str">
        <x:f>IF($AP108="","",IF($AN108="세입없음","OK",IF(OR($AP108="재원확인",$AN108=""),"@@",IF(COUNTIF('3. 일입'!$AK$8:$AK$2000,$AN108),"OK","@@"))))</x:f>
        <x:v/>
      </x:c>
      <x:c r="AP108" s="356" t="str">
        <x:f t="shared" si="115"/>
        <x:v/>
      </x:c>
      <x:c r="AQ108" s="374" t="str">
        <x:f>IF(AND($AN108="",$AP108=""),"",IF(AND($AN108&lt;&gt;"",$AP108&lt;&gt;""),IF(AN108="세입없음","OK",IF(VLOOKUP($AN108,'3. 일입'!$AK$7:$AL$2000,2,FALSE)=$AP108,"OK","@@")),"@@"))</x:f>
        <x:v/>
      </x:c>
      <x:c r="AR108" s="93"/>
      <x:c r="AS108" s="533"/>
      <x:c r="AT108" s="374" t="str">
        <x:f>IF($AS108="","",IF($AS108="세입없음","OK",IF(COUNTIF('3. 일입'!$AN$8:$AN$2000,$AS108),"OK","@@")))</x:f>
        <x:v/>
      </x:c>
      <x:c r="AU108" s="356" t="str">
        <x:f t="shared" si="116"/>
        <x:v/>
      </x:c>
      <x:c r="AV108" s="374" t="str">
        <x:f t="shared" si="117"/>
        <x:v/>
      </x:c>
      <x:c r="AW108" s="93"/>
      <x:c r="AX108" s="348"/>
      <x:c r="AY108" s="29"/>
    </x:row>
    <x:row r="109" spans="1:51" s="20" customFormat="1" ht="80.099999999999994" customHeight="1">
      <x:c r="A109" s="155" t="str">
        <x:f>IF(D109="","",COUNTA($C$7:C109)-COUNTBLANK($C$7:C109)+7)</x:f>
        <x:v/>
      </x:c>
      <x:c r="B109" s="156" t="str">
        <x: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x:f>
        <x:v/>
      </x:c>
      <x:c r="C109" s="156" t="str">
        <x:f>IF(D109="","",IF(OR(D109="교육지원과",D109="총무과",D109="인사과"),"직접입력",VLOOKUP(D109,구분표!$A$3:$C$258,3,)))</x:f>
        <x:v/>
      </x:c>
      <x:c r="D109" s="219"/>
      <x:c r="E109" s="213"/>
      <x:c r="F109" s="388" t="str">
        <x:f t="shared" si="118"/>
        <x:v/>
      </x:c>
      <x:c r="G109" s="388" t="str">
        <x:f t="shared" si="118"/>
        <x:v/>
      </x:c>
      <x:c r="H109" s="213"/>
      <x:c r="I109" s="156" t="str">
        <x:f>IF(H109="","",VLOOKUP($H109,구분표!$K$3:$M$151,2,FALSE))</x:f>
        <x:v/>
      </x:c>
      <x:c r="J109" s="156" t="str">
        <x:f>IF(I109="","",VLOOKUP($H109,구분표!$K$3:$M$151,3,FALSE))</x:f>
        <x:v/>
      </x:c>
      <x:c r="K109" s="233"/>
      <x:c r="L109" s="233"/>
      <x:c r="M109" s="459" t="str">
        <x:f t="shared" si="119"/>
        <x:v/>
      </x:c>
      <x:c r="N109" s="459" t="str">
        <x:f t="shared" si="120"/>
        <x:v/>
      </x:c>
      <x:c r="O109" s="461" t="str">
        <x:f t="shared" si="101"/>
        <x:v/>
      </x:c>
      <x:c r="P109" s="460"/>
      <x:c r="Q109" s="461">
        <x:f t="shared" si="102"/>
        <x:v>0</x:v>
      </x:c>
      <x:c r="R109" s="462"/>
      <x:c r="S109" s="463">
        <x:f t="shared" si="103"/>
        <x:v>0</x:v>
      </x:c>
      <x:c r="T109" s="162" t="str">
        <x:f t="shared" si="104"/>
        <x:v>X</x:v>
      </x:c>
      <x:c r="U109" s="552"/>
      <x:c r="V109" s="331"/>
      <x:c r="W109" s="221"/>
      <x:c r="X109" s="223"/>
      <x:c r="Y109" s="334"/>
      <x:c r="Z109" s="334"/>
      <x:c r="AA109" s="29"/>
      <x:c r="AB109" s="486">
        <x:f t="shared" si="105"/>
        <x:v>0</x:v>
      </x:c>
      <x:c r="AC109" s="487">
        <x:f t="shared" si="106"/>
        <x:v>0</x:v>
      </x:c>
      <x:c r="AD109" s="487">
        <x:f t="shared" si="107"/>
        <x:v>0</x:v>
      </x:c>
      <x:c r="AE109" s="487">
        <x:f t="shared" si="108"/>
        <x:v>0</x:v>
      </x:c>
      <x:c r="AF109" s="374" t="str">
        <x:f t="shared" si="109"/>
        <x:v/>
      </x:c>
      <x:c r="AG109" s="93"/>
      <x:c r="AH109" s="488">
        <x:f t="shared" si="110"/>
        <x:v>0</x:v>
      </x:c>
      <x:c r="AI109" s="487">
        <x:f t="shared" si="111"/>
        <x:v>0</x:v>
      </x:c>
      <x:c r="AJ109" s="487">
        <x:f t="shared" si="112"/>
        <x:v>0</x:v>
      </x:c>
      <x:c r="AK109" s="487">
        <x:f t="shared" si="113"/>
        <x:v>0</x:v>
      </x:c>
      <x:c r="AL109" s="374" t="str">
        <x:f t="shared" si="114"/>
        <x:v/>
      </x:c>
      <x:c r="AM109" s="92"/>
      <x:c r="AN109" s="221"/>
      <x:c r="AO109" s="374" t="str">
        <x:f>IF($AP109="","",IF($AN109="세입없음","OK",IF(OR($AP109="재원확인",$AN109=""),"@@",IF(COUNTIF('3. 일입'!$AK$8:$AK$2000,$AN109),"OK","@@"))))</x:f>
        <x:v/>
      </x:c>
      <x:c r="AP109" s="356" t="str">
        <x:f t="shared" si="115"/>
        <x:v/>
      </x:c>
      <x:c r="AQ109" s="374" t="str">
        <x:f>IF(AND($AN109="",$AP109=""),"",IF(AND($AN109&lt;&gt;"",$AP109&lt;&gt;""),IF(AN109="세입없음","OK",IF(VLOOKUP($AN109,'3. 일입'!$AK$7:$AL$2000,2,FALSE)=$AP109,"OK","@@")),"@@"))</x:f>
        <x:v/>
      </x:c>
      <x:c r="AR109" s="93"/>
      <x:c r="AS109" s="533"/>
      <x:c r="AT109" s="374" t="str">
        <x:f>IF($AS109="","",IF($AS109="세입없음","OK",IF(COUNTIF('3. 일입'!$AN$8:$AN$2000,$AS109),"OK","@@")))</x:f>
        <x:v/>
      </x:c>
      <x:c r="AU109" s="356" t="str">
        <x:f t="shared" si="116"/>
        <x:v/>
      </x:c>
      <x:c r="AV109" s="374" t="str">
        <x:f t="shared" si="117"/>
        <x:v/>
      </x:c>
      <x:c r="AW109" s="93"/>
      <x:c r="AX109" s="348"/>
      <x:c r="AY109" s="29"/>
    </x:row>
    <x:row r="110" spans="1:51" s="20" customFormat="1" ht="80.099999999999994" customHeight="1">
      <x:c r="A110" s="155" t="str">
        <x:f>IF(D110="","",COUNTA($C$7:C110)-COUNTBLANK($C$7:C110)+7)</x:f>
        <x:v/>
      </x:c>
      <x:c r="B110" s="156" t="str">
        <x: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x:f>
        <x:v/>
      </x:c>
      <x:c r="C110" s="156" t="str">
        <x:f>IF(D110="","",IF(OR(D110="교육지원과",D110="총무과",D110="인사과"),"직접입력",VLOOKUP(D110,구분표!$A$3:$C$258,3,)))</x:f>
        <x:v/>
      </x:c>
      <x:c r="D110" s="219"/>
      <x:c r="E110" s="213"/>
      <x:c r="F110" s="388" t="str">
        <x:f t="shared" si="118"/>
        <x:v/>
      </x:c>
      <x:c r="G110" s="388" t="str">
        <x:f t="shared" si="118"/>
        <x:v/>
      </x:c>
      <x:c r="H110" s="213"/>
      <x:c r="I110" s="156" t="str">
        <x:f>IF(H110="","",VLOOKUP($H110,구분표!$K$3:$M$151,2,FALSE))</x:f>
        <x:v/>
      </x:c>
      <x:c r="J110" s="156" t="str">
        <x:f>IF(I110="","",VLOOKUP($H110,구분표!$K$3:$M$151,3,FALSE))</x:f>
        <x:v/>
      </x:c>
      <x:c r="K110" s="233"/>
      <x:c r="L110" s="233"/>
      <x:c r="M110" s="459" t="str">
        <x:f t="shared" si="119"/>
        <x:v/>
      </x:c>
      <x:c r="N110" s="459" t="str">
        <x:f t="shared" si="120"/>
        <x:v/>
      </x:c>
      <x:c r="O110" s="461" t="str">
        <x:f t="shared" si="101"/>
        <x:v/>
      </x:c>
      <x:c r="P110" s="460"/>
      <x:c r="Q110" s="461">
        <x:f t="shared" si="102"/>
        <x:v>0</x:v>
      </x:c>
      <x:c r="R110" s="462"/>
      <x:c r="S110" s="463">
        <x:f t="shared" si="103"/>
        <x:v>0</x:v>
      </x:c>
      <x:c r="T110" s="162" t="str">
        <x:f t="shared" si="104"/>
        <x:v>X</x:v>
      </x:c>
      <x:c r="U110" s="552"/>
      <x:c r="V110" s="331"/>
      <x:c r="W110" s="221"/>
      <x:c r="X110" s="223"/>
      <x:c r="Y110" s="334"/>
      <x:c r="Z110" s="334"/>
      <x:c r="AA110" s="29"/>
      <x:c r="AB110" s="486">
        <x:f t="shared" si="105"/>
        <x:v>0</x:v>
      </x:c>
      <x:c r="AC110" s="487">
        <x:f t="shared" si="106"/>
        <x:v>0</x:v>
      </x:c>
      <x:c r="AD110" s="487">
        <x:f t="shared" si="107"/>
        <x:v>0</x:v>
      </x:c>
      <x:c r="AE110" s="487">
        <x:f t="shared" si="108"/>
        <x:v>0</x:v>
      </x:c>
      <x:c r="AF110" s="374" t="str">
        <x:f t="shared" si="109"/>
        <x:v/>
      </x:c>
      <x:c r="AG110" s="93"/>
      <x:c r="AH110" s="488">
        <x:f t="shared" si="110"/>
        <x:v>0</x:v>
      </x:c>
      <x:c r="AI110" s="487">
        <x:f t="shared" si="111"/>
        <x:v>0</x:v>
      </x:c>
      <x:c r="AJ110" s="487">
        <x:f t="shared" si="112"/>
        <x:v>0</x:v>
      </x:c>
      <x:c r="AK110" s="487">
        <x:f t="shared" si="113"/>
        <x:v>0</x:v>
      </x:c>
      <x:c r="AL110" s="374" t="str">
        <x:f t="shared" si="114"/>
        <x:v/>
      </x:c>
      <x:c r="AM110" s="92"/>
      <x:c r="AN110" s="221"/>
      <x:c r="AO110" s="374" t="str">
        <x:f>IF($AP110="","",IF($AN110="세입없음","OK",IF(OR($AP110="재원확인",$AN110=""),"@@",IF(COUNTIF('3. 일입'!$AK$8:$AK$2000,$AN110),"OK","@@"))))</x:f>
        <x:v/>
      </x:c>
      <x:c r="AP110" s="356" t="str">
        <x:f t="shared" si="115"/>
        <x:v/>
      </x:c>
      <x:c r="AQ110" s="374" t="str">
        <x:f>IF(AND($AN110="",$AP110=""),"",IF(AND($AN110&lt;&gt;"",$AP110&lt;&gt;""),IF(AN110="세입없음","OK",IF(VLOOKUP($AN110,'3. 일입'!$AK$7:$AL$2000,2,FALSE)=$AP110,"OK","@@")),"@@"))</x:f>
        <x:v/>
      </x:c>
      <x:c r="AR110" s="93"/>
      <x:c r="AS110" s="533"/>
      <x:c r="AT110" s="374" t="str">
        <x:f>IF($AS110="","",IF($AS110="세입없음","OK",IF(COUNTIF('3. 일입'!$AN$8:$AN$2000,$AS110),"OK","@@")))</x:f>
        <x:v/>
      </x:c>
      <x:c r="AU110" s="356" t="str">
        <x:f t="shared" si="116"/>
        <x:v/>
      </x:c>
      <x:c r="AV110" s="374" t="str">
        <x:f t="shared" si="117"/>
        <x:v/>
      </x:c>
      <x:c r="AW110" s="93"/>
      <x:c r="AX110" s="348"/>
      <x:c r="AY110" s="29"/>
    </x:row>
    <x:row r="111" spans="1:51" s="20" customFormat="1" ht="80.099999999999994" customHeight="1">
      <x:c r="A111" s="155" t="str">
        <x:f>IF(D111="","",COUNTA($C$7:C111)-COUNTBLANK($C$7:C111)+7)</x:f>
        <x:v/>
      </x:c>
      <x:c r="B111" s="156" t="str">
        <x: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x:f>
        <x:v/>
      </x:c>
      <x:c r="C111" s="156" t="str">
        <x:f>IF(D111="","",IF(OR(D111="교육지원과",D111="총무과",D111="인사과"),"직접입력",VLOOKUP(D111,구분표!$A$3:$C$258,3,)))</x:f>
        <x:v/>
      </x:c>
      <x:c r="D111" s="219"/>
      <x:c r="E111" s="213"/>
      <x:c r="F111" s="388" t="str">
        <x:f t="shared" si="118"/>
        <x:v/>
      </x:c>
      <x:c r="G111" s="388" t="str">
        <x:f t="shared" si="118"/>
        <x:v/>
      </x:c>
      <x:c r="H111" s="213"/>
      <x:c r="I111" s="156" t="str">
        <x:f>IF(H111="","",VLOOKUP($H111,구분표!$K$3:$M$151,2,FALSE))</x:f>
        <x:v/>
      </x:c>
      <x:c r="J111" s="156" t="str">
        <x:f>IF(I111="","",VLOOKUP($H111,구분표!$K$3:$M$151,3,FALSE))</x:f>
        <x:v/>
      </x:c>
      <x:c r="K111" s="233"/>
      <x:c r="L111" s="233"/>
      <x:c r="M111" s="459" t="str">
        <x:f t="shared" si="119"/>
        <x:v/>
      </x:c>
      <x:c r="N111" s="459" t="str">
        <x:f t="shared" si="120"/>
        <x:v/>
      </x:c>
      <x:c r="O111" s="461" t="str">
        <x:f t="shared" si="101"/>
        <x:v/>
      </x:c>
      <x:c r="P111" s="460"/>
      <x:c r="Q111" s="461">
        <x:f t="shared" si="102"/>
        <x:v>0</x:v>
      </x:c>
      <x:c r="R111" s="462"/>
      <x:c r="S111" s="463">
        <x:f t="shared" si="103"/>
        <x:v>0</x:v>
      </x:c>
      <x:c r="T111" s="162" t="str">
        <x:f t="shared" si="104"/>
        <x:v>X</x:v>
      </x:c>
      <x:c r="U111" s="552"/>
      <x:c r="V111" s="331"/>
      <x:c r="W111" s="221"/>
      <x:c r="X111" s="223"/>
      <x:c r="Y111" s="334"/>
      <x:c r="Z111" s="334"/>
      <x:c r="AA111" s="29"/>
      <x:c r="AB111" s="486">
        <x:f t="shared" si="105"/>
        <x:v>0</x:v>
      </x:c>
      <x:c r="AC111" s="487">
        <x:f t="shared" si="106"/>
        <x:v>0</x:v>
      </x:c>
      <x:c r="AD111" s="487">
        <x:f t="shared" si="107"/>
        <x:v>0</x:v>
      </x:c>
      <x:c r="AE111" s="487">
        <x:f t="shared" si="108"/>
        <x:v>0</x:v>
      </x:c>
      <x:c r="AF111" s="374" t="str">
        <x:f t="shared" si="109"/>
        <x:v/>
      </x:c>
      <x:c r="AG111" s="93"/>
      <x:c r="AH111" s="488">
        <x:f t="shared" si="110"/>
        <x:v>0</x:v>
      </x:c>
      <x:c r="AI111" s="487">
        <x:f t="shared" si="111"/>
        <x:v>0</x:v>
      </x:c>
      <x:c r="AJ111" s="487">
        <x:f t="shared" si="112"/>
        <x:v>0</x:v>
      </x:c>
      <x:c r="AK111" s="487">
        <x:f t="shared" si="113"/>
        <x:v>0</x:v>
      </x:c>
      <x:c r="AL111" s="374" t="str">
        <x:f t="shared" si="114"/>
        <x:v/>
      </x:c>
      <x:c r="AM111" s="92"/>
      <x:c r="AN111" s="221"/>
      <x:c r="AO111" s="374" t="str">
        <x:f>IF($AP111="","",IF($AN111="세입없음","OK",IF(OR($AP111="재원확인",$AN111=""),"@@",IF(COUNTIF('3. 일입'!$AK$8:$AK$2000,$AN111),"OK","@@"))))</x:f>
        <x:v/>
      </x:c>
      <x:c r="AP111" s="356" t="str">
        <x:f t="shared" si="115"/>
        <x:v/>
      </x:c>
      <x:c r="AQ111" s="374" t="str">
        <x:f>IF(AND($AN111="",$AP111=""),"",IF(AND($AN111&lt;&gt;"",$AP111&lt;&gt;""),IF(AN111="세입없음","OK",IF(VLOOKUP($AN111,'3. 일입'!$AK$7:$AL$2000,2,FALSE)=$AP111,"OK","@@")),"@@"))</x:f>
        <x:v/>
      </x:c>
      <x:c r="AR111" s="93"/>
      <x:c r="AS111" s="533"/>
      <x:c r="AT111" s="374" t="str">
        <x:f>IF($AS111="","",IF($AS111="세입없음","OK",IF(COUNTIF('3. 일입'!$AN$8:$AN$2000,$AS111),"OK","@@")))</x:f>
        <x:v/>
      </x:c>
      <x:c r="AU111" s="356" t="str">
        <x:f t="shared" si="116"/>
        <x:v/>
      </x:c>
      <x:c r="AV111" s="374" t="str">
        <x:f t="shared" si="117"/>
        <x:v/>
      </x:c>
      <x:c r="AW111" s="93"/>
      <x:c r="AX111" s="348"/>
      <x:c r="AY111" s="29"/>
    </x:row>
    <x:row r="112" spans="1:51" s="20" customFormat="1" ht="80.099999999999994" customHeight="1">
      <x:c r="A112" s="155" t="str">
        <x:f>IF(D112="","",COUNTA($C$7:C112)-COUNTBLANK($C$7:C112)+7)</x:f>
        <x:v/>
      </x:c>
      <x:c r="B112" s="156" t="str">
        <x: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x:f>
        <x:v/>
      </x:c>
      <x:c r="C112" s="156" t="str">
        <x:f>IF(D112="","",IF(OR(D112="교육지원과",D112="총무과",D112="인사과"),"직접입력",VLOOKUP(D112,구분표!$A$3:$C$258,3,)))</x:f>
        <x:v/>
      </x:c>
      <x:c r="D112" s="219"/>
      <x:c r="E112" s="213"/>
      <x:c r="F112" s="388" t="str">
        <x:f t="shared" si="118"/>
        <x:v/>
      </x:c>
      <x:c r="G112" s="388" t="str">
        <x:f t="shared" si="118"/>
        <x:v/>
      </x:c>
      <x:c r="H112" s="213"/>
      <x:c r="I112" s="156" t="str">
        <x:f>IF(H112="","",VLOOKUP($H112,구분표!$K$3:$M$151,2,FALSE))</x:f>
        <x:v/>
      </x:c>
      <x:c r="J112" s="156" t="str">
        <x:f>IF(I112="","",VLOOKUP($H112,구분표!$K$3:$M$151,3,FALSE))</x:f>
        <x:v/>
      </x:c>
      <x:c r="K112" s="233"/>
      <x:c r="L112" s="233"/>
      <x:c r="M112" s="459" t="str">
        <x:f t="shared" si="119"/>
        <x:v/>
      </x:c>
      <x:c r="N112" s="459" t="str">
        <x:f t="shared" si="120"/>
        <x:v/>
      </x:c>
      <x:c r="O112" s="461" t="str">
        <x:f t="shared" si="101"/>
        <x:v/>
      </x:c>
      <x:c r="P112" s="460"/>
      <x:c r="Q112" s="461">
        <x:f t="shared" si="102"/>
        <x:v>0</x:v>
      </x:c>
      <x:c r="R112" s="462"/>
      <x:c r="S112" s="463">
        <x:f t="shared" si="103"/>
        <x:v>0</x:v>
      </x:c>
      <x:c r="T112" s="162" t="str">
        <x:f t="shared" si="104"/>
        <x:v>X</x:v>
      </x:c>
      <x:c r="U112" s="552"/>
      <x:c r="V112" s="331"/>
      <x:c r="W112" s="221"/>
      <x:c r="X112" s="223"/>
      <x:c r="Y112" s="334"/>
      <x:c r="Z112" s="334"/>
      <x:c r="AA112" s="29"/>
      <x:c r="AB112" s="486">
        <x:f t="shared" si="105"/>
        <x:v>0</x:v>
      </x:c>
      <x:c r="AC112" s="487">
        <x:f t="shared" si="106"/>
        <x:v>0</x:v>
      </x:c>
      <x:c r="AD112" s="487">
        <x:f t="shared" si="107"/>
        <x:v>0</x:v>
      </x:c>
      <x:c r="AE112" s="487">
        <x:f t="shared" si="108"/>
        <x:v>0</x:v>
      </x:c>
      <x:c r="AF112" s="374" t="str">
        <x:f t="shared" si="109"/>
        <x:v/>
      </x:c>
      <x:c r="AG112" s="93"/>
      <x:c r="AH112" s="488">
        <x:f t="shared" si="110"/>
        <x:v>0</x:v>
      </x:c>
      <x:c r="AI112" s="487">
        <x:f t="shared" si="111"/>
        <x:v>0</x:v>
      </x:c>
      <x:c r="AJ112" s="487">
        <x:f t="shared" si="112"/>
        <x:v>0</x:v>
      </x:c>
      <x:c r="AK112" s="487">
        <x:f t="shared" si="113"/>
        <x:v>0</x:v>
      </x:c>
      <x:c r="AL112" s="374" t="str">
        <x:f t="shared" si="114"/>
        <x:v/>
      </x:c>
      <x:c r="AM112" s="92"/>
      <x:c r="AN112" s="221"/>
      <x:c r="AO112" s="374" t="str">
        <x:f>IF($AP112="","",IF($AN112="세입없음","OK",IF(OR($AP112="재원확인",$AN112=""),"@@",IF(COUNTIF('3. 일입'!$AK$8:$AK$2000,$AN112),"OK","@@"))))</x:f>
        <x:v/>
      </x:c>
      <x:c r="AP112" s="356" t="str">
        <x:f t="shared" si="115"/>
        <x:v/>
      </x:c>
      <x:c r="AQ112" s="374" t="str">
        <x:f>IF(AND($AN112="",$AP112=""),"",IF(AND($AN112&lt;&gt;"",$AP112&lt;&gt;""),IF(AN112="세입없음","OK",IF(VLOOKUP($AN112,'3. 일입'!$AK$7:$AL$2000,2,FALSE)=$AP112,"OK","@@")),"@@"))</x:f>
        <x:v/>
      </x:c>
      <x:c r="AR112" s="93"/>
      <x:c r="AS112" s="533"/>
      <x:c r="AT112" s="374" t="str">
        <x:f>IF($AS112="","",IF($AS112="세입없음","OK",IF(COUNTIF('3. 일입'!$AN$8:$AN$2000,$AS112),"OK","@@")))</x:f>
        <x:v/>
      </x:c>
      <x:c r="AU112" s="356" t="str">
        <x:f t="shared" si="116"/>
        <x:v/>
      </x:c>
      <x:c r="AV112" s="374" t="str">
        <x:f t="shared" si="117"/>
        <x:v/>
      </x:c>
      <x:c r="AW112" s="93"/>
      <x:c r="AX112" s="348"/>
      <x:c r="AY112" s="29"/>
    </x:row>
    <x:row r="113" spans="1:51" s="20" customFormat="1" ht="80.099999999999994" customHeight="1">
      <x:c r="A113" s="155" t="str">
        <x:f>IF(D113="","",COUNTA($C$7:C113)-COUNTBLANK($C$7:C113)+7)</x:f>
        <x:v/>
      </x:c>
      <x:c r="B113" s="156" t="str">
        <x: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x:f>
        <x:v/>
      </x:c>
      <x:c r="C113" s="156" t="str">
        <x:f>IF(D113="","",IF(OR(D113="교육지원과",D113="총무과",D113="인사과"),"직접입력",VLOOKUP(D113,구분표!$A$3:$C$258,3,)))</x:f>
        <x:v/>
      </x:c>
      <x:c r="D113" s="219"/>
      <x:c r="E113" s="213"/>
      <x:c r="F113" s="388" t="str">
        <x:f t="shared" si="118"/>
        <x:v/>
      </x:c>
      <x:c r="G113" s="388" t="str">
        <x:f t="shared" si="118"/>
        <x:v/>
      </x:c>
      <x:c r="H113" s="213"/>
      <x:c r="I113" s="156" t="str">
        <x:f>IF(H113="","",VLOOKUP($H113,구분표!$K$3:$M$151,2,FALSE))</x:f>
        <x:v/>
      </x:c>
      <x:c r="J113" s="156" t="str">
        <x:f>IF(I113="","",VLOOKUP($H113,구분표!$K$3:$M$151,3,FALSE))</x:f>
        <x:v/>
      </x:c>
      <x:c r="K113" s="233"/>
      <x:c r="L113" s="233"/>
      <x:c r="M113" s="459" t="str">
        <x:f t="shared" si="119"/>
        <x:v/>
      </x:c>
      <x:c r="N113" s="459" t="str">
        <x:f t="shared" si="120"/>
        <x:v/>
      </x:c>
      <x:c r="O113" s="461" t="str">
        <x:f t="shared" si="101"/>
        <x:v/>
      </x:c>
      <x:c r="P113" s="460"/>
      <x:c r="Q113" s="461">
        <x:f t="shared" si="102"/>
        <x:v>0</x:v>
      </x:c>
      <x:c r="R113" s="462"/>
      <x:c r="S113" s="463">
        <x:f t="shared" si="103"/>
        <x:v>0</x:v>
      </x:c>
      <x:c r="T113" s="162" t="str">
        <x:f t="shared" si="104"/>
        <x:v>X</x:v>
      </x:c>
      <x:c r="U113" s="552"/>
      <x:c r="V113" s="331"/>
      <x:c r="W113" s="221"/>
      <x:c r="X113" s="223"/>
      <x:c r="Y113" s="334"/>
      <x:c r="Z113" s="334"/>
      <x:c r="AA113" s="29"/>
      <x:c r="AB113" s="486">
        <x:f t="shared" si="105"/>
        <x:v>0</x:v>
      </x:c>
      <x:c r="AC113" s="487">
        <x:f t="shared" si="106"/>
        <x:v>0</x:v>
      </x:c>
      <x:c r="AD113" s="487">
        <x:f t="shared" si="107"/>
        <x:v>0</x:v>
      </x:c>
      <x:c r="AE113" s="487">
        <x:f t="shared" si="108"/>
        <x:v>0</x:v>
      </x:c>
      <x:c r="AF113" s="374" t="str">
        <x:f t="shared" si="109"/>
        <x:v/>
      </x:c>
      <x:c r="AG113" s="93"/>
      <x:c r="AH113" s="488">
        <x:f t="shared" si="110"/>
        <x:v>0</x:v>
      </x:c>
      <x:c r="AI113" s="487">
        <x:f t="shared" si="111"/>
        <x:v>0</x:v>
      </x:c>
      <x:c r="AJ113" s="487">
        <x:f t="shared" si="112"/>
        <x:v>0</x:v>
      </x:c>
      <x:c r="AK113" s="487">
        <x:f t="shared" si="113"/>
        <x:v>0</x:v>
      </x:c>
      <x:c r="AL113" s="374" t="str">
        <x:f t="shared" si="114"/>
        <x:v/>
      </x:c>
      <x:c r="AM113" s="92"/>
      <x:c r="AN113" s="221"/>
      <x:c r="AO113" s="374" t="str">
        <x:f>IF($AP113="","",IF($AN113="세입없음","OK",IF(OR($AP113="재원확인",$AN113=""),"@@",IF(COUNTIF('3. 일입'!$AK$8:$AK$2000,$AN113),"OK","@@"))))</x:f>
        <x:v/>
      </x:c>
      <x:c r="AP113" s="356" t="str">
        <x:f t="shared" si="115"/>
        <x:v/>
      </x:c>
      <x:c r="AQ113" s="374" t="str">
        <x:f>IF(AND($AN113="",$AP113=""),"",IF(AND($AN113&lt;&gt;"",$AP113&lt;&gt;""),IF(AN113="세입없음","OK",IF(VLOOKUP($AN113,'3. 일입'!$AK$7:$AL$2000,2,FALSE)=$AP113,"OK","@@")),"@@"))</x:f>
        <x:v/>
      </x:c>
      <x:c r="AR113" s="93"/>
      <x:c r="AS113" s="533"/>
      <x:c r="AT113" s="374" t="str">
        <x:f>IF($AS113="","",IF($AS113="세입없음","OK",IF(COUNTIF('3. 일입'!$AN$8:$AN$2000,$AS113),"OK","@@")))</x:f>
        <x:v/>
      </x:c>
      <x:c r="AU113" s="356" t="str">
        <x:f t="shared" si="116"/>
        <x:v/>
      </x:c>
      <x:c r="AV113" s="374" t="str">
        <x:f t="shared" si="117"/>
        <x:v/>
      </x:c>
      <x:c r="AW113" s="93"/>
      <x:c r="AX113" s="348"/>
      <x:c r="AY113" s="29"/>
    </x:row>
    <x:row r="114" spans="1:51" s="20" customFormat="1" ht="80.099999999999994" customHeight="1">
      <x:c r="A114" s="155" t="str">
        <x:f>IF(D114="","",COUNTA($C$7:C114)-COUNTBLANK($C$7:C114)+7)</x:f>
        <x:v/>
      </x:c>
      <x:c r="B114" s="156" t="str">
        <x: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x:f>
        <x:v/>
      </x:c>
      <x:c r="C114" s="156" t="str">
        <x:f>IF(D114="","",IF(OR(D114="교육지원과",D114="총무과",D114="인사과"),"직접입력",VLOOKUP(D114,구분표!$A$3:$C$258,3,)))</x:f>
        <x:v/>
      </x:c>
      <x:c r="D114" s="219"/>
      <x:c r="E114" s="213"/>
      <x:c r="F114" s="388" t="str">
        <x:f t="shared" si="118"/>
        <x:v/>
      </x:c>
      <x:c r="G114" s="388" t="str">
        <x:f t="shared" si="118"/>
        <x:v/>
      </x:c>
      <x:c r="H114" s="213"/>
      <x:c r="I114" s="156" t="str">
        <x:f>IF(H114="","",VLOOKUP($H114,구분표!$K$3:$M$151,2,FALSE))</x:f>
        <x:v/>
      </x:c>
      <x:c r="J114" s="156" t="str">
        <x:f>IF(I114="","",VLOOKUP($H114,구분표!$K$3:$M$151,3,FALSE))</x:f>
        <x:v/>
      </x:c>
      <x:c r="K114" s="233"/>
      <x:c r="L114" s="233"/>
      <x:c r="M114" s="459" t="str">
        <x:f t="shared" si="119"/>
        <x:v/>
      </x:c>
      <x:c r="N114" s="459" t="str">
        <x:f t="shared" si="120"/>
        <x:v/>
      </x:c>
      <x:c r="O114" s="461" t="str">
        <x:f t="shared" si="101"/>
        <x:v/>
      </x:c>
      <x:c r="P114" s="460"/>
      <x:c r="Q114" s="461">
        <x:f t="shared" si="102"/>
        <x:v>0</x:v>
      </x:c>
      <x:c r="R114" s="462"/>
      <x:c r="S114" s="463">
        <x:f t="shared" si="103"/>
        <x:v>0</x:v>
      </x:c>
      <x:c r="T114" s="162" t="str">
        <x:f t="shared" si="104"/>
        <x:v>X</x:v>
      </x:c>
      <x:c r="U114" s="552"/>
      <x:c r="V114" s="331"/>
      <x:c r="W114" s="221"/>
      <x:c r="X114" s="223"/>
      <x:c r="Y114" s="334"/>
      <x:c r="Z114" s="334"/>
      <x:c r="AA114" s="29"/>
      <x:c r="AB114" s="486">
        <x:f t="shared" si="105"/>
        <x:v>0</x:v>
      </x:c>
      <x:c r="AC114" s="487">
        <x:f t="shared" si="106"/>
        <x:v>0</x:v>
      </x:c>
      <x:c r="AD114" s="487">
        <x:f t="shared" si="107"/>
        <x:v>0</x:v>
      </x:c>
      <x:c r="AE114" s="487">
        <x:f t="shared" si="108"/>
        <x:v>0</x:v>
      </x:c>
      <x:c r="AF114" s="374" t="str">
        <x:f t="shared" si="109"/>
        <x:v/>
      </x:c>
      <x:c r="AG114" s="93"/>
      <x:c r="AH114" s="488">
        <x:f t="shared" si="110"/>
        <x:v>0</x:v>
      </x:c>
      <x:c r="AI114" s="487">
        <x:f t="shared" si="111"/>
        <x:v>0</x:v>
      </x:c>
      <x:c r="AJ114" s="487">
        <x:f t="shared" si="112"/>
        <x:v>0</x:v>
      </x:c>
      <x:c r="AK114" s="487">
        <x:f t="shared" si="113"/>
        <x:v>0</x:v>
      </x:c>
      <x:c r="AL114" s="374" t="str">
        <x:f t="shared" si="114"/>
        <x:v/>
      </x:c>
      <x:c r="AM114" s="92"/>
      <x:c r="AN114" s="221"/>
      <x:c r="AO114" s="374" t="str">
        <x:f>IF($AP114="","",IF($AN114="세입없음","OK",IF(OR($AP114="재원확인",$AN114=""),"@@",IF(COUNTIF('3. 일입'!$AK$8:$AK$2000,$AN114),"OK","@@"))))</x:f>
        <x:v/>
      </x:c>
      <x:c r="AP114" s="356" t="str">
        <x:f t="shared" si="115"/>
        <x:v/>
      </x:c>
      <x:c r="AQ114" s="374" t="str">
        <x:f>IF(AND($AN114="",$AP114=""),"",IF(AND($AN114&lt;&gt;"",$AP114&lt;&gt;""),IF(AN114="세입없음","OK",IF(VLOOKUP($AN114,'3. 일입'!$AK$7:$AL$2000,2,FALSE)=$AP114,"OK","@@")),"@@"))</x:f>
        <x:v/>
      </x:c>
      <x:c r="AR114" s="93"/>
      <x:c r="AS114" s="533"/>
      <x:c r="AT114" s="374" t="str">
        <x:f>IF($AS114="","",IF($AS114="세입없음","OK",IF(COUNTIF('3. 일입'!$AN$8:$AN$2000,$AS114),"OK","@@")))</x:f>
        <x:v/>
      </x:c>
      <x:c r="AU114" s="356" t="str">
        <x:f t="shared" si="116"/>
        <x:v/>
      </x:c>
      <x:c r="AV114" s="374" t="str">
        <x:f t="shared" si="117"/>
        <x:v/>
      </x:c>
      <x:c r="AW114" s="93"/>
      <x:c r="AX114" s="348"/>
      <x:c r="AY114" s="29"/>
    </x:row>
    <x:row r="115" spans="1:51" s="20" customFormat="1" ht="80.099999999999994" customHeight="1">
      <x:c r="A115" s="155" t="str">
        <x:f>IF(D115="","",COUNTA($C$7:C115)-COUNTBLANK($C$7:C115)+7)</x:f>
        <x:v/>
      </x:c>
      <x:c r="B115" s="156" t="str">
        <x: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x:f>
        <x:v/>
      </x:c>
      <x:c r="C115" s="156" t="str">
        <x:f>IF(D115="","",IF(OR(D115="교육지원과",D115="총무과",D115="인사과"),"직접입력",VLOOKUP(D115,구분표!$A$3:$C$258,3,)))</x:f>
        <x:v/>
      </x:c>
      <x:c r="D115" s="219"/>
      <x:c r="E115" s="213"/>
      <x:c r="F115" s="388" t="str">
        <x:f t="shared" si="118"/>
        <x:v/>
      </x:c>
      <x:c r="G115" s="388" t="str">
        <x:f t="shared" si="118"/>
        <x:v/>
      </x:c>
      <x:c r="H115" s="213"/>
      <x:c r="I115" s="156" t="str">
        <x:f>IF(H115="","",VLOOKUP($H115,구분표!$K$3:$M$151,2,FALSE))</x:f>
        <x:v/>
      </x:c>
      <x:c r="J115" s="156" t="str">
        <x:f>IF(I115="","",VLOOKUP($H115,구분표!$K$3:$M$151,3,FALSE))</x:f>
        <x:v/>
      </x:c>
      <x:c r="K115" s="233"/>
      <x:c r="L115" s="233"/>
      <x:c r="M115" s="459" t="str">
        <x:f t="shared" si="119"/>
        <x:v/>
      </x:c>
      <x:c r="N115" s="459" t="str">
        <x:f t="shared" si="120"/>
        <x:v/>
      </x:c>
      <x:c r="O115" s="461" t="str">
        <x:f t="shared" si="101"/>
        <x:v/>
      </x:c>
      <x:c r="P115" s="460"/>
      <x:c r="Q115" s="461">
        <x:f t="shared" si="102"/>
        <x:v>0</x:v>
      </x:c>
      <x:c r="R115" s="462"/>
      <x:c r="S115" s="463">
        <x:f t="shared" si="103"/>
        <x:v>0</x:v>
      </x:c>
      <x:c r="T115" s="162" t="str">
        <x:f t="shared" si="104"/>
        <x:v>X</x:v>
      </x:c>
      <x:c r="U115" s="552"/>
      <x:c r="V115" s="331"/>
      <x:c r="W115" s="221"/>
      <x:c r="X115" s="223"/>
      <x:c r="Y115" s="334"/>
      <x:c r="Z115" s="334"/>
      <x:c r="AA115" s="29"/>
      <x:c r="AB115" s="486">
        <x:f t="shared" si="105"/>
        <x:v>0</x:v>
      </x:c>
      <x:c r="AC115" s="487">
        <x:f t="shared" si="106"/>
        <x:v>0</x:v>
      </x:c>
      <x:c r="AD115" s="487">
        <x:f t="shared" si="107"/>
        <x:v>0</x:v>
      </x:c>
      <x:c r="AE115" s="487">
        <x:f t="shared" si="108"/>
        <x:v>0</x:v>
      </x:c>
      <x:c r="AF115" s="374" t="str">
        <x:f t="shared" si="109"/>
        <x:v/>
      </x:c>
      <x:c r="AG115" s="93"/>
      <x:c r="AH115" s="488">
        <x:f t="shared" si="110"/>
        <x:v>0</x:v>
      </x:c>
      <x:c r="AI115" s="487">
        <x:f t="shared" si="111"/>
        <x:v>0</x:v>
      </x:c>
      <x:c r="AJ115" s="487">
        <x:f t="shared" si="112"/>
        <x:v>0</x:v>
      </x:c>
      <x:c r="AK115" s="487">
        <x:f t="shared" si="113"/>
        <x:v>0</x:v>
      </x:c>
      <x:c r="AL115" s="374" t="str">
        <x:f t="shared" si="114"/>
        <x:v/>
      </x:c>
      <x:c r="AM115" s="92"/>
      <x:c r="AN115" s="221"/>
      <x:c r="AO115" s="374" t="str">
        <x:f>IF($AP115="","",IF($AN115="세입없음","OK",IF(OR($AP115="재원확인",$AN115=""),"@@",IF(COUNTIF('3. 일입'!$AK$8:$AK$2000,$AN115),"OK","@@"))))</x:f>
        <x:v/>
      </x:c>
      <x:c r="AP115" s="356" t="str">
        <x:f t="shared" si="115"/>
        <x:v/>
      </x:c>
      <x:c r="AQ115" s="374" t="str">
        <x:f>IF(AND($AN115="",$AP115=""),"",IF(AND($AN115&lt;&gt;"",$AP115&lt;&gt;""),IF(AN115="세입없음","OK",IF(VLOOKUP($AN115,'3. 일입'!$AK$7:$AL$2000,2,FALSE)=$AP115,"OK","@@")),"@@"))</x:f>
        <x:v/>
      </x:c>
      <x:c r="AR115" s="93"/>
      <x:c r="AS115" s="533"/>
      <x:c r="AT115" s="374" t="str">
        <x:f>IF($AS115="","",IF($AS115="세입없음","OK",IF(COUNTIF('3. 일입'!$AN$8:$AN$2000,$AS115),"OK","@@")))</x:f>
        <x:v/>
      </x:c>
      <x:c r="AU115" s="356" t="str">
        <x:f t="shared" si="116"/>
        <x:v/>
      </x:c>
      <x:c r="AV115" s="374" t="str">
        <x:f t="shared" si="117"/>
        <x:v/>
      </x:c>
      <x:c r="AW115" s="93"/>
      <x:c r="AX115" s="348"/>
      <x:c r="AY115" s="29"/>
    </x:row>
    <x:row r="116" spans="1:51" s="20" customFormat="1" ht="80.099999999999994" customHeight="1">
      <x:c r="A116" s="155" t="str">
        <x:f>IF(D116="","",COUNTA($C$7:C116)-COUNTBLANK($C$7:C116)+7)</x:f>
        <x:v/>
      </x:c>
      <x:c r="B116" s="156" t="str">
        <x: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x:f>
        <x:v/>
      </x:c>
      <x:c r="C116" s="156" t="str">
        <x:f>IF(D116="","",IF(OR(D116="교육지원과",D116="총무과",D116="인사과"),"직접입력",VLOOKUP(D116,구분표!$A$3:$C$258,3,)))</x:f>
        <x:v/>
      </x:c>
      <x:c r="D116" s="219"/>
      <x:c r="E116" s="213"/>
      <x:c r="F116" s="388" t="str">
        <x:f t="shared" si="118"/>
        <x:v/>
      </x:c>
      <x:c r="G116" s="388" t="str">
        <x:f t="shared" si="118"/>
        <x:v/>
      </x:c>
      <x:c r="H116" s="213"/>
      <x:c r="I116" s="156" t="str">
        <x:f>IF(H116="","",VLOOKUP($H116,구분표!$K$3:$M$151,2,FALSE))</x:f>
        <x:v/>
      </x:c>
      <x:c r="J116" s="156" t="str">
        <x:f>IF(I116="","",VLOOKUP($H116,구분표!$K$3:$M$151,3,FALSE))</x:f>
        <x:v/>
      </x:c>
      <x:c r="K116" s="233"/>
      <x:c r="L116" s="233"/>
      <x:c r="M116" s="459" t="str">
        <x:f t="shared" si="119"/>
        <x:v/>
      </x:c>
      <x:c r="N116" s="459" t="str">
        <x:f t="shared" si="120"/>
        <x:v/>
      </x:c>
      <x:c r="O116" s="461" t="str">
        <x:f t="shared" si="101"/>
        <x:v/>
      </x:c>
      <x:c r="P116" s="460"/>
      <x:c r="Q116" s="461">
        <x:f t="shared" si="102"/>
        <x:v>0</x:v>
      </x:c>
      <x:c r="R116" s="462"/>
      <x:c r="S116" s="463">
        <x:f t="shared" si="103"/>
        <x:v>0</x:v>
      </x:c>
      <x:c r="T116" s="162" t="str">
        <x:f t="shared" si="104"/>
        <x:v>X</x:v>
      </x:c>
      <x:c r="U116" s="552"/>
      <x:c r="V116" s="331"/>
      <x:c r="W116" s="221"/>
      <x:c r="X116" s="223"/>
      <x:c r="Y116" s="334"/>
      <x:c r="Z116" s="334"/>
      <x:c r="AA116" s="29"/>
      <x:c r="AB116" s="486">
        <x:f t="shared" si="105"/>
        <x:v>0</x:v>
      </x:c>
      <x:c r="AC116" s="487">
        <x:f t="shared" si="106"/>
        <x:v>0</x:v>
      </x:c>
      <x:c r="AD116" s="487">
        <x:f t="shared" si="107"/>
        <x:v>0</x:v>
      </x:c>
      <x:c r="AE116" s="487">
        <x:f t="shared" si="108"/>
        <x:v>0</x:v>
      </x:c>
      <x:c r="AF116" s="374" t="str">
        <x:f t="shared" si="109"/>
        <x:v/>
      </x:c>
      <x:c r="AG116" s="93"/>
      <x:c r="AH116" s="488">
        <x:f t="shared" si="110"/>
        <x:v>0</x:v>
      </x:c>
      <x:c r="AI116" s="487">
        <x:f t="shared" si="111"/>
        <x:v>0</x:v>
      </x:c>
      <x:c r="AJ116" s="487">
        <x:f t="shared" si="112"/>
        <x:v>0</x:v>
      </x:c>
      <x:c r="AK116" s="487">
        <x:f t="shared" si="113"/>
        <x:v>0</x:v>
      </x:c>
      <x:c r="AL116" s="374" t="str">
        <x:f t="shared" si="114"/>
        <x:v/>
      </x:c>
      <x:c r="AM116" s="92"/>
      <x:c r="AN116" s="221"/>
      <x:c r="AO116" s="374" t="str">
        <x:f>IF($AP116="","",IF($AN116="세입없음","OK",IF(OR($AP116="재원확인",$AN116=""),"@@",IF(COUNTIF('3. 일입'!$AK$8:$AK$2000,$AN116),"OK","@@"))))</x:f>
        <x:v/>
      </x:c>
      <x:c r="AP116" s="356" t="str">
        <x:f t="shared" si="115"/>
        <x:v/>
      </x:c>
      <x:c r="AQ116" s="374" t="str">
        <x:f>IF(AND($AN116="",$AP116=""),"",IF(AND($AN116&lt;&gt;"",$AP116&lt;&gt;""),IF(AN116="세입없음","OK",IF(VLOOKUP($AN116,'3. 일입'!$AK$7:$AL$2000,2,FALSE)=$AP116,"OK","@@")),"@@"))</x:f>
        <x:v/>
      </x:c>
      <x:c r="AR116" s="93"/>
      <x:c r="AS116" s="533"/>
      <x:c r="AT116" s="374" t="str">
        <x:f>IF($AS116="","",IF($AS116="세입없음","OK",IF(COUNTIF('3. 일입'!$AN$8:$AN$2000,$AS116),"OK","@@")))</x:f>
        <x:v/>
      </x:c>
      <x:c r="AU116" s="356" t="str">
        <x:f t="shared" si="116"/>
        <x:v/>
      </x:c>
      <x:c r="AV116" s="374" t="str">
        <x:f t="shared" si="117"/>
        <x:v/>
      </x:c>
      <x:c r="AW116" s="93"/>
      <x:c r="AX116" s="348"/>
      <x:c r="AY116" s="29"/>
    </x:row>
    <x:row r="117" spans="1:51" s="20" customFormat="1" ht="80.099999999999994" customHeight="1">
      <x:c r="A117" s="155" t="str">
        <x:f>IF(D117="","",COUNTA($C$7:C117)-COUNTBLANK($C$7:C117)+7)</x:f>
        <x:v/>
      </x:c>
      <x:c r="B117" s="156" t="str">
        <x: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x:f>
        <x:v/>
      </x:c>
      <x:c r="C117" s="156" t="str">
        <x:f>IF(D117="","",IF(OR(D117="교육지원과",D117="총무과",D117="인사과"),"직접입력",VLOOKUP(D117,구분표!$A$3:$C$258,3,)))</x:f>
        <x:v/>
      </x:c>
      <x:c r="D117" s="219"/>
      <x:c r="E117" s="213"/>
      <x:c r="F117" s="388" t="str">
        <x:f t="shared" si="118"/>
        <x:v/>
      </x:c>
      <x:c r="G117" s="388" t="str">
        <x:f t="shared" si="118"/>
        <x:v/>
      </x:c>
      <x:c r="H117" s="213"/>
      <x:c r="I117" s="156" t="str">
        <x:f>IF(H117="","",VLOOKUP($H117,구분표!$K$3:$M$151,2,FALSE))</x:f>
        <x:v/>
      </x:c>
      <x:c r="J117" s="156" t="str">
        <x:f>IF(I117="","",VLOOKUP($H117,구분표!$K$3:$M$151,3,FALSE))</x:f>
        <x:v/>
      </x:c>
      <x:c r="K117" s="233"/>
      <x:c r="L117" s="233"/>
      <x:c r="M117" s="459" t="str">
        <x:f t="shared" si="119"/>
        <x:v/>
      </x:c>
      <x:c r="N117" s="459" t="str">
        <x:f t="shared" si="120"/>
        <x:v/>
      </x:c>
      <x:c r="O117" s="461" t="str">
        <x:f t="shared" si="101"/>
        <x:v/>
      </x:c>
      <x:c r="P117" s="460"/>
      <x:c r="Q117" s="461">
        <x:f t="shared" si="102"/>
        <x:v>0</x:v>
      </x:c>
      <x:c r="R117" s="462"/>
      <x:c r="S117" s="463">
        <x:f t="shared" si="103"/>
        <x:v>0</x:v>
      </x:c>
      <x:c r="T117" s="162" t="str">
        <x:f t="shared" si="104"/>
        <x:v>X</x:v>
      </x:c>
      <x:c r="U117" s="552"/>
      <x:c r="V117" s="331"/>
      <x:c r="W117" s="221"/>
      <x:c r="X117" s="223"/>
      <x:c r="Y117" s="334"/>
      <x:c r="Z117" s="334"/>
      <x:c r="AA117" s="29"/>
      <x:c r="AB117" s="486">
        <x:f t="shared" si="105"/>
        <x:v>0</x:v>
      </x:c>
      <x:c r="AC117" s="487">
        <x:f t="shared" si="106"/>
        <x:v>0</x:v>
      </x:c>
      <x:c r="AD117" s="487">
        <x:f t="shared" si="107"/>
        <x:v>0</x:v>
      </x:c>
      <x:c r="AE117" s="487">
        <x:f t="shared" si="108"/>
        <x:v>0</x:v>
      </x:c>
      <x:c r="AF117" s="374" t="str">
        <x:f t="shared" si="109"/>
        <x:v/>
      </x:c>
      <x:c r="AG117" s="93"/>
      <x:c r="AH117" s="488">
        <x:f t="shared" si="110"/>
        <x:v>0</x:v>
      </x:c>
      <x:c r="AI117" s="487">
        <x:f t="shared" si="111"/>
        <x:v>0</x:v>
      </x:c>
      <x:c r="AJ117" s="487">
        <x:f t="shared" si="112"/>
        <x:v>0</x:v>
      </x:c>
      <x:c r="AK117" s="487">
        <x:f t="shared" si="113"/>
        <x:v>0</x:v>
      </x:c>
      <x:c r="AL117" s="374" t="str">
        <x:f t="shared" si="114"/>
        <x:v/>
      </x:c>
      <x:c r="AM117" s="92"/>
      <x:c r="AN117" s="221"/>
      <x:c r="AO117" s="374" t="str">
        <x:f>IF($AP117="","",IF($AN117="세입없음","OK",IF(OR($AP117="재원확인",$AN117=""),"@@",IF(COUNTIF('3. 일입'!$AK$8:$AK$2000,$AN117),"OK","@@"))))</x:f>
        <x:v/>
      </x:c>
      <x:c r="AP117" s="356" t="str">
        <x:f t="shared" si="115"/>
        <x:v/>
      </x:c>
      <x:c r="AQ117" s="374" t="str">
        <x:f>IF(AND($AN117="",$AP117=""),"",IF(AND($AN117&lt;&gt;"",$AP117&lt;&gt;""),IF(AN117="세입없음","OK",IF(VLOOKUP($AN117,'3. 일입'!$AK$7:$AL$2000,2,FALSE)=$AP117,"OK","@@")),"@@"))</x:f>
        <x:v/>
      </x:c>
      <x:c r="AR117" s="93"/>
      <x:c r="AS117" s="533"/>
      <x:c r="AT117" s="374" t="str">
        <x:f>IF($AS117="","",IF($AS117="세입없음","OK",IF(COUNTIF('3. 일입'!$AN$8:$AN$2000,$AS117),"OK","@@")))</x:f>
        <x:v/>
      </x:c>
      <x:c r="AU117" s="356" t="str">
        <x:f t="shared" si="116"/>
        <x:v/>
      </x:c>
      <x:c r="AV117" s="374" t="str">
        <x:f t="shared" si="117"/>
        <x:v/>
      </x:c>
      <x:c r="AW117" s="93"/>
      <x:c r="AX117" s="348"/>
      <x:c r="AY117" s="29"/>
    </x:row>
    <x:row r="118" spans="1:51" s="20" customFormat="1" ht="80.099999999999994" customHeight="1">
      <x:c r="A118" s="155" t="str">
        <x:f>IF(D118="","",COUNTA($C$7:C118)-COUNTBLANK($C$7:C118)+7)</x:f>
        <x:v/>
      </x:c>
      <x:c r="B118" s="156" t="str">
        <x: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x:f>
        <x:v/>
      </x:c>
      <x:c r="C118" s="156" t="str">
        <x:f>IF(D118="","",IF(OR(D118="교육지원과",D118="총무과",D118="인사과"),"직접입력",VLOOKUP(D118,구분표!$A$3:$C$258,3,)))</x:f>
        <x:v/>
      </x:c>
      <x:c r="D118" s="219"/>
      <x:c r="E118" s="213"/>
      <x:c r="F118" s="388" t="str">
        <x:f t="shared" si="118"/>
        <x:v/>
      </x:c>
      <x:c r="G118" s="388" t="str">
        <x:f t="shared" si="118"/>
        <x:v/>
      </x:c>
      <x:c r="H118" s="213"/>
      <x:c r="I118" s="156" t="str">
        <x:f>IF(H118="","",VLOOKUP($H118,구분표!$K$3:$M$151,2,FALSE))</x:f>
        <x:v/>
      </x:c>
      <x:c r="J118" s="156" t="str">
        <x:f>IF(I118="","",VLOOKUP($H118,구분표!$K$3:$M$151,3,FALSE))</x:f>
        <x:v/>
      </x:c>
      <x:c r="K118" s="233"/>
      <x:c r="L118" s="233"/>
      <x:c r="M118" s="459" t="str">
        <x:f t="shared" si="119"/>
        <x:v/>
      </x:c>
      <x:c r="N118" s="459" t="str">
        <x:f t="shared" si="120"/>
        <x:v/>
      </x:c>
      <x:c r="O118" s="461" t="str">
        <x:f t="shared" si="101"/>
        <x:v/>
      </x:c>
      <x:c r="P118" s="460"/>
      <x:c r="Q118" s="461">
        <x:f t="shared" si="102"/>
        <x:v>0</x:v>
      </x:c>
      <x:c r="R118" s="462"/>
      <x:c r="S118" s="463">
        <x:f t="shared" si="103"/>
        <x:v>0</x:v>
      </x:c>
      <x:c r="T118" s="162" t="str">
        <x:f t="shared" si="104"/>
        <x:v>X</x:v>
      </x:c>
      <x:c r="U118" s="552"/>
      <x:c r="V118" s="331"/>
      <x:c r="W118" s="221"/>
      <x:c r="X118" s="223"/>
      <x:c r="Y118" s="334"/>
      <x:c r="Z118" s="334"/>
      <x:c r="AA118" s="29"/>
      <x:c r="AB118" s="486">
        <x:f t="shared" si="105"/>
        <x:v>0</x:v>
      </x:c>
      <x:c r="AC118" s="487">
        <x:f t="shared" si="106"/>
        <x:v>0</x:v>
      </x:c>
      <x:c r="AD118" s="487">
        <x:f t="shared" si="107"/>
        <x:v>0</x:v>
      </x:c>
      <x:c r="AE118" s="487">
        <x:f t="shared" si="108"/>
        <x:v>0</x:v>
      </x:c>
      <x:c r="AF118" s="374" t="str">
        <x:f t="shared" si="109"/>
        <x:v/>
      </x:c>
      <x:c r="AG118" s="93"/>
      <x:c r="AH118" s="488">
        <x:f t="shared" si="110"/>
        <x:v>0</x:v>
      </x:c>
      <x:c r="AI118" s="487">
        <x:f t="shared" si="111"/>
        <x:v>0</x:v>
      </x:c>
      <x:c r="AJ118" s="487">
        <x:f t="shared" si="112"/>
        <x:v>0</x:v>
      </x:c>
      <x:c r="AK118" s="487">
        <x:f t="shared" si="113"/>
        <x:v>0</x:v>
      </x:c>
      <x:c r="AL118" s="374" t="str">
        <x:f t="shared" si="114"/>
        <x:v/>
      </x:c>
      <x:c r="AM118" s="92"/>
      <x:c r="AN118" s="221"/>
      <x:c r="AO118" s="374" t="str">
        <x:f>IF($AP118="","",IF($AN118="세입없음","OK",IF(OR($AP118="재원확인",$AN118=""),"@@",IF(COUNTIF('3. 일입'!$AK$8:$AK$2000,$AN118),"OK","@@"))))</x:f>
        <x:v/>
      </x:c>
      <x:c r="AP118" s="356" t="str">
        <x:f t="shared" si="115"/>
        <x:v/>
      </x:c>
      <x:c r="AQ118" s="374" t="str">
        <x:f>IF(AND($AN118="",$AP118=""),"",IF(AND($AN118&lt;&gt;"",$AP118&lt;&gt;""),IF(AN118="세입없음","OK",IF(VLOOKUP($AN118,'3. 일입'!$AK$7:$AL$2000,2,FALSE)=$AP118,"OK","@@")),"@@"))</x:f>
        <x:v/>
      </x:c>
      <x:c r="AR118" s="93"/>
      <x:c r="AS118" s="533"/>
      <x:c r="AT118" s="374" t="str">
        <x:f>IF($AS118="","",IF($AS118="세입없음","OK",IF(COUNTIF('3. 일입'!$AN$8:$AN$2000,$AS118),"OK","@@")))</x:f>
        <x:v/>
      </x:c>
      <x:c r="AU118" s="356" t="str">
        <x:f t="shared" si="116"/>
        <x:v/>
      </x:c>
      <x:c r="AV118" s="374" t="str">
        <x:f t="shared" si="117"/>
        <x:v/>
      </x:c>
      <x:c r="AW118" s="93"/>
      <x:c r="AX118" s="348"/>
      <x:c r="AY118" s="29"/>
    </x:row>
    <x:row r="119" spans="1:51" s="345" customFormat="1" ht="60" customHeight="1">
      <x:c r="A119" s="337"/>
      <x:c r="B119" s="979" t="s">
        <x:v>1521</x:v>
      </x:c>
      <x:c r="C119" s="979"/>
      <x:c r="D119" s="979"/>
      <x:c r="E119" s="979"/>
      <x:c r="F119" s="979"/>
      <x:c r="G119" s="979"/>
      <x:c r="H119" s="338"/>
      <x:c r="I119" s="359"/>
      <x:c r="J119" s="359"/>
      <x:c r="K119" s="339"/>
      <x:c r="L119" s="340" t="str">
        <x:f>SUBTOTAL(3,$L120:$L134)&amp;"건"</x:f>
        <x:v>0건</x:v>
      </x:c>
      <x:c r="M119" s="476">
        <x:f t="shared" ref="M119:N119" si="121">SUBTOTAL(9,M120:M134)</x:f>
        <x:v>0</x:v>
      </x:c>
      <x:c r="N119" s="476">
        <x:f t="shared" si="121"/>
        <x:v>0</x:v>
      </x:c>
      <x:c r="O119" s="482">
        <x:f t="shared" ref="O119:S119" si="122">SUBTOTAL(9,O120:O134)</x:f>
        <x:v>0</x:v>
      </x:c>
      <x:c r="P119" s="482">
        <x:f t="shared" si="122"/>
        <x:v>0</x:v>
      </x:c>
      <x:c r="Q119" s="482">
        <x:f t="shared" si="122"/>
        <x:v>0</x:v>
      </x:c>
      <x:c r="R119" s="482">
        <x:f t="shared" si="122"/>
        <x:v>0</x:v>
      </x:c>
      <x:c r="S119" s="482">
        <x:f t="shared" si="122"/>
        <x:v>0</x:v>
      </x:c>
      <x:c r="T119" s="337"/>
      <x:c r="U119" s="551"/>
      <x:c r="V119" s="346"/>
      <x:c r="W119" s="342"/>
      <x:c r="X119" s="343"/>
      <x:c r="Y119" s="343"/>
      <x:c r="Z119" s="343"/>
      <x:c r="AA119" s="344"/>
      <x:c r="AB119" s="483">
        <x:f>SUBTOTAL(9,AB120:AB134)</x:f>
        <x:v>0</x:v>
      </x:c>
      <x:c r="AC119" s="483">
        <x:f>SUBTOTAL(9,AC120:AC134)</x:f>
        <x:v>0</x:v>
      </x:c>
      <x:c r="AD119" s="483">
        <x:f>SUBTOTAL(9,AD120:AD134)</x:f>
        <x:v>0</x:v>
      </x:c>
      <x:c r="AE119" s="483">
        <x:f>SUBTOTAL(9,AE120:AE134)</x:f>
        <x:v>0</x:v>
      </x:c>
      <x:c r="AF119" s="554" t="str">
        <x:f>IF(COUNTIF(AF120:AF134,"@@")&gt;0,"@@","OK")</x:f>
        <x:v>OK</x:v>
      </x:c>
      <x:c r="AG119" s="344"/>
      <x:c r="AH119" s="483">
        <x:f>SUBTOTAL(9,AH120:AH134)</x:f>
        <x:v>0</x:v>
      </x:c>
      <x:c r="AI119" s="483">
        <x:f>SUBTOTAL(9,AI120:AI134)</x:f>
        <x:v>0</x:v>
      </x:c>
      <x:c r="AJ119" s="483">
        <x:f>SUBTOTAL(9,AJ120:AJ134)</x:f>
        <x:v>0</x:v>
      </x:c>
      <x:c r="AK119" s="483">
        <x:f>SUBTOTAL(9,AK120:AK134)</x:f>
        <x:v>0</x:v>
      </x:c>
      <x:c r="AL119" s="554" t="str">
        <x:f>IF(COUNTIF(AL120:AL134,"@@")&gt;0,"@@","OK")</x:f>
        <x:v>OK</x:v>
      </x:c>
      <x:c r="AM119" s="344"/>
      <x:c r="AN119" s="343"/>
      <x:c r="AO119" s="554" t="str">
        <x:f>IF(COUNTIF(AO120:AO134,"@@")&gt;0,"@@","OK")</x:f>
        <x:v>OK</x:v>
      </x:c>
      <x:c r="AP119" s="343"/>
      <x:c r="AQ119" s="554" t="str">
        <x:f>IF(COUNTIF(AQ120:AQ134,"@@")&gt;0,"@@","OK")</x:f>
        <x:v>OK</x:v>
      </x:c>
      <x:c r="AR119" s="344"/>
      <x:c r="AS119" s="343"/>
      <x:c r="AT119" s="554" t="str">
        <x:f>IF(COUNTIF(AT120:AT134,"@@")&gt;0,"@@","OK")</x:f>
        <x:v>OK</x:v>
      </x:c>
      <x:c r="AU119" s="343"/>
      <x:c r="AV119" s="554" t="str">
        <x:f>IF(COUNTIF(AV120:AV134,"@@")&gt;0,"@@","OK")</x:f>
        <x:v>OK</x:v>
      </x:c>
      <x:c r="AW119" s="344"/>
      <x:c r="AX119" s="343"/>
      <x:c r="AY119" s="344"/>
    </x:row>
    <x:row r="120" spans="1:51" ht="80.099999999999994" customHeight="1">
      <x:c r="A120" s="155" t="str">
        <x:f>IF(D120="","",COUNTA($C$7:C120)-COUNTBLANK($C$7:C120)+8)</x:f>
        <x:v/>
      </x:c>
      <x:c r="B120" s="156" t="str">
        <x: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x:f>
        <x:v/>
      </x:c>
      <x:c r="C120" s="156" t="str">
        <x:f>IF(D120="","",IF(OR(D120="교육지원과",D120="총무과",D120="인사과"),"직접입력",VLOOKUP(D120,구분표!$A$3:$C$258,3,)))</x:f>
        <x:v/>
      </x:c>
      <x:c r="D120" s="219"/>
      <x:c r="E120" s="213"/>
      <x:c r="F120" s="388" t="str">
        <x:f>IF($E120="","",IF($E120="2추","직접입력","-"))</x:f>
        <x:v/>
      </x:c>
      <x:c r="G120" s="388" t="str">
        <x:f>IF($E120="","",IF($E120="2추","직접입력","-"))</x:f>
        <x:v/>
      </x:c>
      <x:c r="H120" s="213"/>
      <x:c r="I120" s="156" t="str">
        <x:f>IF(H120="","",VLOOKUP($H120,구분표!$K$3:$M$151,2,FALSE))</x:f>
        <x:v/>
      </x:c>
      <x:c r="J120" s="156" t="str">
        <x:f>IF(I120="","",VLOOKUP($H120,구분표!$K$3:$M$151,3,FALSE))</x:f>
        <x:v/>
      </x:c>
      <x:c r="K120" s="233"/>
      <x:c r="L120" s="233"/>
      <x:c r="M120" s="459" t="str">
        <x:f>IF($E120="","",IF(OR($E120="2추",$E120="1추",$E120="본예산"),"금액입력","-"))</x:f>
        <x:v/>
      </x:c>
      <x:c r="N120" s="459" t="str">
        <x:f>IF($E120="","",IF($E120="2추","금액입력","-"))</x:f>
        <x:v/>
      </x:c>
      <x:c r="O120" s="461" t="str">
        <x:f t="shared" ref="O120:O134" si="123">IF($E120="","",SUM(M120:N120))</x:f>
        <x:v/>
      </x:c>
      <x:c r="P120" s="460"/>
      <x:c r="Q120" s="461">
        <x:f t="shared" ref="Q120:Q134" si="124">SUM(O120:P120)</x:f>
        <x:v>0</x:v>
      </x:c>
      <x:c r="R120" s="462"/>
      <x:c r="S120" s="463">
        <x:f t="shared" ref="S120:S134" si="125">SUM(O120,R120)</x:f>
        <x:v>0</x:v>
      </x:c>
      <x:c r="T120" s="162" t="str">
        <x:f t="shared" ref="T120:T134" si="126">IF(AND((Q120=0),(S120&gt;0)),"O",IF(AND((P120&lt;0),(Q120-S120&lt;0)),"O","X"))</x:f>
        <x:v>X</x:v>
      </x:c>
      <x:c r="U120" s="552"/>
      <x:c r="V120" s="331"/>
      <x:c r="W120" s="221"/>
      <x:c r="X120" s="223"/>
      <x:c r="Y120" s="334"/>
      <x:c r="Z120" s="334"/>
      <x:c r="AA120" s="29"/>
      <x:c r="AB120" s="486">
        <x:f t="shared" ref="AB120:AB134" si="127">IF($P120="",0,IF($P120&lt;&gt;0,"재원입력필요",0))</x:f>
        <x:v>0</x:v>
      </x:c>
      <x:c r="AC120" s="487">
        <x:f t="shared" ref="AC120:AC134" si="128">IF($P120="",0,IF(AND(ISNUMBER($AB120),ISNUMBER(AD120),ISNUMBER(AE120)),$P120-$AB120-$AD120-$AE120,0))</x:f>
        <x:v>0</x:v>
      </x:c>
      <x:c r="AD120" s="487">
        <x:f t="shared" ref="AD120:AD134" si="129">IF($P120="",0,IF(COUNT(FIND("(지방채)",$L120))&gt;0,"재원입력필요",0))</x:f>
        <x:v>0</x:v>
      </x:c>
      <x:c r="AE120" s="487">
        <x:f t="shared" ref="AE120:AE134" si="130">IF($P120="",0,IF(COUNT(FIND("(지역개발기금)",$L120))&gt;0,"재원입력필요",0))</x:f>
        <x:v>0</x:v>
      </x:c>
      <x:c r="AF120" s="374" t="str">
        <x:f t="shared" ref="AF120:AF134" si="131">IF($P120="",IF(SUM($AB120:$AE120)=0,"","@@"),IF(AND($P120=SUM($AB120:$AE120),$Q120&gt;=0),"OK","@@"))</x:f>
        <x:v/>
      </x:c>
      <x:c r="AG120" s="93"/>
      <x:c r="AH120" s="488">
        <x:f t="shared" ref="AH120:AH134" si="132">IF($R120="",0,IF($R120&lt;&gt;0,"재원입력필요",0))</x:f>
        <x:v>0</x:v>
      </x:c>
      <x:c r="AI120" s="487">
        <x:f t="shared" ref="AI120:AI134" si="133">IF($R120="",0,IF(AND(ISNUMBER($AH120),ISNUMBER($AJ120),ISNUMBER($AK120)),$R120-$AH120-$AJ120-$AK120,0))</x:f>
        <x:v>0</x:v>
      </x:c>
      <x:c r="AJ120" s="487">
        <x:f t="shared" ref="AJ120:AJ134" si="134">IF($R120="",0,IF(COUNT(FIND("(지방채)",$L120))&gt;0,"재원입력필요",0))</x:f>
        <x:v>0</x:v>
      </x:c>
      <x:c r="AK120" s="487">
        <x:f t="shared" ref="AK120:AK134" si="135">IF($R120="",0,IF(COUNT(FIND("(지역개발기금)",$L120))&gt;0,"재원입력필요",0))</x:f>
        <x:v>0</x:v>
      </x:c>
      <x:c r="AL120" s="374" t="str">
        <x:f t="shared" ref="AL120:AL134" si="136">IF($R120="",IF(SUM($AH120:$AK120)=0,"","@@"),IF(AND($R120=SUM($AH120:$AK120),$S120&gt;=0),"OK","@@"))</x:f>
        <x:v/>
      </x:c>
      <x:c r="AM120" s="92"/>
      <x:c r="AN120" s="221"/>
      <x:c r="AO120" s="374" t="str">
        <x:f>IF($AP120="","",IF($AN120="세입없음","OK",IF(OR($AP120="재원확인",$AN120=""),"@@",IF(COUNTIF('3. 일입'!$AK$8:$AK$2000,$AN120),"OK","@@"))))</x:f>
        <x:v/>
      </x:c>
      <x:c r="AP120" s="356" t="str">
        <x:f t="shared" ref="AP120:AP134" si="137">IF($K120="","",IF(COUNT(FIND("국비/",$K120)),"국비",IF(COUNT(FIND("균특/",$K120)),"균특",IF(COUNT(FIND("기금/",$K120)),"기금",IF(COUNT(FIND("교부세/",$K120)),"특교",IF(COUNT(FIND("소방안전/",$K120)),"소교",IF(COUNT(FIND("소멸대응/",$K120)),"소멸","재원확인")))))))</x:f>
        <x:v/>
      </x:c>
      <x:c r="AQ120" s="374" t="str">
        <x:f>IF(AND($AN120="",$AP120=""),"",IF(AND($AN120&lt;&gt;"",$AP120&lt;&gt;""),IF(AN120="세입없음","OK",IF(VLOOKUP($AN120,'3. 일입'!$AK$7:$AL$2000,2,FALSE)=$AP120,"OK","@@")),"@@"))</x:f>
        <x:v/>
      </x:c>
      <x:c r="AR120" s="93"/>
      <x:c r="AS120" s="533"/>
      <x:c r="AT120" s="374" t="str">
        <x:f>IF($AS120="","",IF($AS120="세입없음","OK",IF(COUNTIF('3. 일입'!$AN$8:$AN$2000,$AS120),"OK","@@")))</x:f>
        <x:v/>
      </x:c>
      <x:c r="AU120" s="356" t="str">
        <x:f t="shared" ref="AU120:AU134" si="138">IF($L120="","",IF(COUNT(FIND("(지역개발기금)",$L120)),"지역개발기금",IF(COUNT(FIND("지방채",$L120)),"지방채","자체")))</x:f>
        <x:v/>
      </x:c>
      <x:c r="AV120" s="374" t="str">
        <x:f t="shared" ref="AV120:AV134" si="139">IF($AS120="",IF($AU120="","",IF($AU120="자체","OK","@@")),IF($AS120="세입없음","OK",IF($AU120="","@@",IF(ISNUMBER(FIND($AU120,$AS120)),"OK","@@"))))</x:f>
        <x:v/>
      </x:c>
      <x:c r="AW120" s="93"/>
      <x:c r="AX120" s="348"/>
      <x:c r="AY120" s="28"/>
    </x:row>
    <x:row r="121" spans="1:51" s="20" customFormat="1" ht="80.099999999999994" customHeight="1">
      <x:c r="A121" s="155" t="str">
        <x:f>IF(D121="","",COUNTA($C$7:C121)-COUNTBLANK($C$7:C121)+8)</x:f>
        <x:v/>
      </x:c>
      <x:c r="B121" s="156" t="str">
        <x: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x:f>
        <x:v/>
      </x:c>
      <x:c r="C121" s="156" t="str">
        <x:f>IF(D121="","",IF(OR(D121="교육지원과",D121="총무과",D121="인사과"),"직접입력",VLOOKUP(D121,구분표!$A$3:$C$258,3,)))</x:f>
        <x:v/>
      </x:c>
      <x:c r="D121" s="219"/>
      <x:c r="E121" s="213"/>
      <x:c r="F121" s="388" t="str">
        <x:f t="shared" ref="F121:G134" si="140">IF($E121="","",IF($E121="2추","직접입력","-"))</x:f>
        <x:v/>
      </x:c>
      <x:c r="G121" s="388" t="str">
        <x:f t="shared" si="140"/>
        <x:v/>
      </x:c>
      <x:c r="H121" s="213"/>
      <x:c r="I121" s="156" t="str">
        <x:f>IF(H121="","",VLOOKUP($H121,구분표!$K$3:$M$151,2,FALSE))</x:f>
        <x:v/>
      </x:c>
      <x:c r="J121" s="156" t="str">
        <x:f>IF(I121="","",VLOOKUP($H121,구분표!$K$3:$M$151,3,FALSE))</x:f>
        <x:v/>
      </x:c>
      <x:c r="K121" s="233"/>
      <x:c r="L121" s="233"/>
      <x:c r="M121" s="459" t="str">
        <x:f t="shared" ref="M121:M134" si="141">IF($E121="","",IF(OR($E121="2추",$E121="1추",$E121="본예산"),"금액입력","-"))</x:f>
        <x:v/>
      </x:c>
      <x:c r="N121" s="459" t="str">
        <x:f t="shared" ref="N121:N134" si="142">IF($E121="","",IF($E121="2추","금액입력","-"))</x:f>
        <x:v/>
      </x:c>
      <x:c r="O121" s="461" t="str">
        <x:f t="shared" si="123"/>
        <x:v/>
      </x:c>
      <x:c r="P121" s="460"/>
      <x:c r="Q121" s="461">
        <x:f t="shared" si="124"/>
        <x:v>0</x:v>
      </x:c>
      <x:c r="R121" s="462"/>
      <x:c r="S121" s="463">
        <x:f t="shared" si="125"/>
        <x:v>0</x:v>
      </x:c>
      <x:c r="T121" s="162" t="str">
        <x:f t="shared" si="126"/>
        <x:v>X</x:v>
      </x:c>
      <x:c r="U121" s="552"/>
      <x:c r="V121" s="331"/>
      <x:c r="W121" s="221"/>
      <x:c r="X121" s="223"/>
      <x:c r="Y121" s="334"/>
      <x:c r="Z121" s="334"/>
      <x:c r="AA121" s="29"/>
      <x:c r="AB121" s="486">
        <x:f t="shared" si="127"/>
        <x:v>0</x:v>
      </x:c>
      <x:c r="AC121" s="487">
        <x:f t="shared" si="128"/>
        <x:v>0</x:v>
      </x:c>
      <x:c r="AD121" s="487">
        <x:f t="shared" si="129"/>
        <x:v>0</x:v>
      </x:c>
      <x:c r="AE121" s="487">
        <x:f t="shared" si="130"/>
        <x:v>0</x:v>
      </x:c>
      <x:c r="AF121" s="374" t="str">
        <x:f t="shared" si="131"/>
        <x:v/>
      </x:c>
      <x:c r="AG121" s="93"/>
      <x:c r="AH121" s="488">
        <x:f t="shared" si="132"/>
        <x:v>0</x:v>
      </x:c>
      <x:c r="AI121" s="487">
        <x:f t="shared" si="133"/>
        <x:v>0</x:v>
      </x:c>
      <x:c r="AJ121" s="487">
        <x:f t="shared" si="134"/>
        <x:v>0</x:v>
      </x:c>
      <x:c r="AK121" s="487">
        <x:f t="shared" si="135"/>
        <x:v>0</x:v>
      </x:c>
      <x:c r="AL121" s="374" t="str">
        <x:f t="shared" si="136"/>
        <x:v/>
      </x:c>
      <x:c r="AM121" s="92"/>
      <x:c r="AN121" s="221"/>
      <x:c r="AO121" s="374" t="str">
        <x:f>IF($AP121="","",IF($AN121="세입없음","OK",IF(OR($AP121="재원확인",$AN121=""),"@@",IF(COUNTIF('3. 일입'!$AK$8:$AK$2000,$AN121),"OK","@@"))))</x:f>
        <x:v/>
      </x:c>
      <x:c r="AP121" s="356" t="str">
        <x:f t="shared" si="137"/>
        <x:v/>
      </x:c>
      <x:c r="AQ121" s="374" t="str">
        <x:f>IF(AND($AN121="",$AP121=""),"",IF(AND($AN121&lt;&gt;"",$AP121&lt;&gt;""),IF(AN121="세입없음","OK",IF(VLOOKUP($AN121,'3. 일입'!$AK$7:$AL$2000,2,FALSE)=$AP121,"OK","@@")),"@@"))</x:f>
        <x:v/>
      </x:c>
      <x:c r="AR121" s="93"/>
      <x:c r="AS121" s="533"/>
      <x:c r="AT121" s="374" t="str">
        <x:f>IF($AS121="","",IF($AS121="세입없음","OK",IF(COUNTIF('3. 일입'!$AN$8:$AN$2000,$AS121),"OK","@@")))</x:f>
        <x:v/>
      </x:c>
      <x:c r="AU121" s="356" t="str">
        <x:f t="shared" si="138"/>
        <x:v/>
      </x:c>
      <x:c r="AV121" s="374" t="str">
        <x:f t="shared" si="139"/>
        <x:v/>
      </x:c>
      <x:c r="AW121" s="93"/>
      <x:c r="AX121" s="348"/>
      <x:c r="AY121" s="29"/>
    </x:row>
    <x:row r="122" spans="1:51" s="20" customFormat="1" ht="80.099999999999994" customHeight="1">
      <x:c r="A122" s="155" t="str">
        <x:f>IF(D122="","",COUNTA($C$7:C122)-COUNTBLANK($C$7:C122)+8)</x:f>
        <x:v/>
      </x:c>
      <x:c r="B122" s="156" t="str">
        <x: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x:f>
        <x:v/>
      </x:c>
      <x:c r="C122" s="156" t="str">
        <x:f>IF(D122="","",IF(OR(D122="교육지원과",D122="총무과",D122="인사과"),"직접입력",VLOOKUP(D122,구분표!$A$3:$C$258,3,)))</x:f>
        <x:v/>
      </x:c>
      <x:c r="D122" s="219"/>
      <x:c r="E122" s="213"/>
      <x:c r="F122" s="388" t="str">
        <x:f t="shared" si="140"/>
        <x:v/>
      </x:c>
      <x:c r="G122" s="388" t="str">
        <x:f t="shared" si="140"/>
        <x:v/>
      </x:c>
      <x:c r="H122" s="213"/>
      <x:c r="I122" s="156" t="str">
        <x:f>IF(H122="","",VLOOKUP($H122,구분표!$K$3:$M$151,2,FALSE))</x:f>
        <x:v/>
      </x:c>
      <x:c r="J122" s="156" t="str">
        <x:f>IF(I122="","",VLOOKUP($H122,구분표!$K$3:$M$151,3,FALSE))</x:f>
        <x:v/>
      </x:c>
      <x:c r="K122" s="233"/>
      <x:c r="L122" s="233"/>
      <x:c r="M122" s="459" t="str">
        <x:f t="shared" si="141"/>
        <x:v/>
      </x:c>
      <x:c r="N122" s="459" t="str">
        <x:f t="shared" si="142"/>
        <x:v/>
      </x:c>
      <x:c r="O122" s="461" t="str">
        <x:f t="shared" si="123"/>
        <x:v/>
      </x:c>
      <x:c r="P122" s="460"/>
      <x:c r="Q122" s="461">
        <x:f t="shared" si="124"/>
        <x:v>0</x:v>
      </x:c>
      <x:c r="R122" s="462"/>
      <x:c r="S122" s="463">
        <x:f t="shared" si="125"/>
        <x:v>0</x:v>
      </x:c>
      <x:c r="T122" s="162" t="str">
        <x:f t="shared" si="126"/>
        <x:v>X</x:v>
      </x:c>
      <x:c r="U122" s="552"/>
      <x:c r="V122" s="331"/>
      <x:c r="W122" s="221"/>
      <x:c r="X122" s="223"/>
      <x:c r="Y122" s="334"/>
      <x:c r="Z122" s="334"/>
      <x:c r="AA122" s="29"/>
      <x:c r="AB122" s="486">
        <x:f t="shared" si="127"/>
        <x:v>0</x:v>
      </x:c>
      <x:c r="AC122" s="487">
        <x:f t="shared" si="128"/>
        <x:v>0</x:v>
      </x:c>
      <x:c r="AD122" s="487">
        <x:f t="shared" si="129"/>
        <x:v>0</x:v>
      </x:c>
      <x:c r="AE122" s="487">
        <x:f t="shared" si="130"/>
        <x:v>0</x:v>
      </x:c>
      <x:c r="AF122" s="374" t="str">
        <x:f t="shared" si="131"/>
        <x:v/>
      </x:c>
      <x:c r="AG122" s="93"/>
      <x:c r="AH122" s="488">
        <x:f t="shared" si="132"/>
        <x:v>0</x:v>
      </x:c>
      <x:c r="AI122" s="487">
        <x:f t="shared" si="133"/>
        <x:v>0</x:v>
      </x:c>
      <x:c r="AJ122" s="487">
        <x:f t="shared" si="134"/>
        <x:v>0</x:v>
      </x:c>
      <x:c r="AK122" s="487">
        <x:f t="shared" si="135"/>
        <x:v>0</x:v>
      </x:c>
      <x:c r="AL122" s="374" t="str">
        <x:f t="shared" si="136"/>
        <x:v/>
      </x:c>
      <x:c r="AM122" s="92"/>
      <x:c r="AN122" s="221"/>
      <x:c r="AO122" s="374" t="str">
        <x:f>IF($AP122="","",IF($AN122="세입없음","OK",IF(OR($AP122="재원확인",$AN122=""),"@@",IF(COUNTIF('3. 일입'!$AK$8:$AK$2000,$AN122),"OK","@@"))))</x:f>
        <x:v/>
      </x:c>
      <x:c r="AP122" s="356" t="str">
        <x:f t="shared" si="137"/>
        <x:v/>
      </x:c>
      <x:c r="AQ122" s="374" t="str">
        <x:f>IF(AND($AN122="",$AP122=""),"",IF(AND($AN122&lt;&gt;"",$AP122&lt;&gt;""),IF(AN122="세입없음","OK",IF(VLOOKUP($AN122,'3. 일입'!$AK$7:$AL$2000,2,FALSE)=$AP122,"OK","@@")),"@@"))</x:f>
        <x:v/>
      </x:c>
      <x:c r="AR122" s="93"/>
      <x:c r="AS122" s="533"/>
      <x:c r="AT122" s="374" t="str">
        <x:f>IF($AS122="","",IF($AS122="세입없음","OK",IF(COUNTIF('3. 일입'!$AN$8:$AN$2000,$AS122),"OK","@@")))</x:f>
        <x:v/>
      </x:c>
      <x:c r="AU122" s="356" t="str">
        <x:f t="shared" si="138"/>
        <x:v/>
      </x:c>
      <x:c r="AV122" s="374" t="str">
        <x:f t="shared" si="139"/>
        <x:v/>
      </x:c>
      <x:c r="AW122" s="93"/>
      <x:c r="AX122" s="348"/>
      <x:c r="AY122" s="29"/>
    </x:row>
    <x:row r="123" spans="1:51" s="20" customFormat="1" ht="80.099999999999994" customHeight="1">
      <x:c r="A123" s="155" t="str">
        <x:f>IF(D123="","",COUNTA($C$7:C123)-COUNTBLANK($C$7:C123)+8)</x:f>
        <x:v/>
      </x:c>
      <x:c r="B123" s="156" t="str">
        <x: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x:f>
        <x:v/>
      </x:c>
      <x:c r="C123" s="156" t="str">
        <x:f>IF(D123="","",IF(OR(D123="교육지원과",D123="총무과",D123="인사과"),"직접입력",VLOOKUP(D123,구분표!$A$3:$C$258,3,)))</x:f>
        <x:v/>
      </x:c>
      <x:c r="D123" s="219"/>
      <x:c r="E123" s="213"/>
      <x:c r="F123" s="388" t="str">
        <x:f t="shared" si="140"/>
        <x:v/>
      </x:c>
      <x:c r="G123" s="388" t="str">
        <x:f t="shared" si="140"/>
        <x:v/>
      </x:c>
      <x:c r="H123" s="213"/>
      <x:c r="I123" s="156" t="str">
        <x:f>IF(H123="","",VLOOKUP($H123,구분표!$K$3:$M$151,2,FALSE))</x:f>
        <x:v/>
      </x:c>
      <x:c r="J123" s="156" t="str">
        <x:f>IF(I123="","",VLOOKUP($H123,구분표!$K$3:$M$151,3,FALSE))</x:f>
        <x:v/>
      </x:c>
      <x:c r="K123" s="233"/>
      <x:c r="L123" s="233"/>
      <x:c r="M123" s="459" t="str">
        <x:f t="shared" si="141"/>
        <x:v/>
      </x:c>
      <x:c r="N123" s="459" t="str">
        <x:f t="shared" si="142"/>
        <x:v/>
      </x:c>
      <x:c r="O123" s="461" t="str">
        <x:f t="shared" si="123"/>
        <x:v/>
      </x:c>
      <x:c r="P123" s="460"/>
      <x:c r="Q123" s="461">
        <x:f t="shared" si="124"/>
        <x:v>0</x:v>
      </x:c>
      <x:c r="R123" s="462"/>
      <x:c r="S123" s="463">
        <x:f t="shared" si="125"/>
        <x:v>0</x:v>
      </x:c>
      <x:c r="T123" s="162" t="str">
        <x:f t="shared" si="126"/>
        <x:v>X</x:v>
      </x:c>
      <x:c r="U123" s="552"/>
      <x:c r="V123" s="331"/>
      <x:c r="W123" s="221"/>
      <x:c r="X123" s="223"/>
      <x:c r="Y123" s="334"/>
      <x:c r="Z123" s="334"/>
      <x:c r="AA123" s="29"/>
      <x:c r="AB123" s="486">
        <x:f t="shared" si="127"/>
        <x:v>0</x:v>
      </x:c>
      <x:c r="AC123" s="487">
        <x:f t="shared" si="128"/>
        <x:v>0</x:v>
      </x:c>
      <x:c r="AD123" s="487">
        <x:f t="shared" si="129"/>
        <x:v>0</x:v>
      </x:c>
      <x:c r="AE123" s="487">
        <x:f t="shared" si="130"/>
        <x:v>0</x:v>
      </x:c>
      <x:c r="AF123" s="374" t="str">
        <x:f t="shared" si="131"/>
        <x:v/>
      </x:c>
      <x:c r="AG123" s="93"/>
      <x:c r="AH123" s="488">
        <x:f t="shared" si="132"/>
        <x:v>0</x:v>
      </x:c>
      <x:c r="AI123" s="487">
        <x:f t="shared" si="133"/>
        <x:v>0</x:v>
      </x:c>
      <x:c r="AJ123" s="487">
        <x:f t="shared" si="134"/>
        <x:v>0</x:v>
      </x:c>
      <x:c r="AK123" s="487">
        <x:f t="shared" si="135"/>
        <x:v>0</x:v>
      </x:c>
      <x:c r="AL123" s="374" t="str">
        <x:f t="shared" si="136"/>
        <x:v/>
      </x:c>
      <x:c r="AM123" s="92"/>
      <x:c r="AN123" s="221"/>
      <x:c r="AO123" s="374" t="str">
        <x:f>IF($AP123="","",IF($AN123="세입없음","OK",IF(OR($AP123="재원확인",$AN123=""),"@@",IF(COUNTIF('3. 일입'!$AK$8:$AK$2000,$AN123),"OK","@@"))))</x:f>
        <x:v/>
      </x:c>
      <x:c r="AP123" s="356" t="str">
        <x:f t="shared" si="137"/>
        <x:v/>
      </x:c>
      <x:c r="AQ123" s="374" t="str">
        <x:f>IF(AND($AN123="",$AP123=""),"",IF(AND($AN123&lt;&gt;"",$AP123&lt;&gt;""),IF(AN123="세입없음","OK",IF(VLOOKUP($AN123,'3. 일입'!$AK$7:$AL$2000,2,FALSE)=$AP123,"OK","@@")),"@@"))</x:f>
        <x:v/>
      </x:c>
      <x:c r="AR123" s="93"/>
      <x:c r="AS123" s="533"/>
      <x:c r="AT123" s="374" t="str">
        <x:f>IF($AS123="","",IF($AS123="세입없음","OK",IF(COUNTIF('3. 일입'!$AN$8:$AN$2000,$AS123),"OK","@@")))</x:f>
        <x:v/>
      </x:c>
      <x:c r="AU123" s="356" t="str">
        <x:f t="shared" si="138"/>
        <x:v/>
      </x:c>
      <x:c r="AV123" s="374" t="str">
        <x:f t="shared" si="139"/>
        <x:v/>
      </x:c>
      <x:c r="AW123" s="93"/>
      <x:c r="AX123" s="348"/>
      <x:c r="AY123" s="29"/>
    </x:row>
    <x:row r="124" spans="1:51" s="20" customFormat="1" ht="80.099999999999994" customHeight="1">
      <x:c r="A124" s="155" t="str">
        <x:f>IF(D124="","",COUNTA($C$7:C124)-COUNTBLANK($C$7:C124)+8)</x:f>
        <x:v/>
      </x:c>
      <x:c r="B124" s="156" t="str">
        <x: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x:f>
        <x:v/>
      </x:c>
      <x:c r="C124" s="156" t="str">
        <x:f>IF(D124="","",IF(OR(D124="교육지원과",D124="총무과",D124="인사과"),"직접입력",VLOOKUP(D124,구분표!$A$3:$C$258,3,)))</x:f>
        <x:v/>
      </x:c>
      <x:c r="D124" s="219"/>
      <x:c r="E124" s="213"/>
      <x:c r="F124" s="388" t="str">
        <x:f t="shared" si="140"/>
        <x:v/>
      </x:c>
      <x:c r="G124" s="388" t="str">
        <x:f t="shared" si="140"/>
        <x:v/>
      </x:c>
      <x:c r="H124" s="213"/>
      <x:c r="I124" s="156" t="str">
        <x:f>IF(H124="","",VLOOKUP($H124,구분표!$K$3:$M$151,2,FALSE))</x:f>
        <x:v/>
      </x:c>
      <x:c r="J124" s="156" t="str">
        <x:f>IF(I124="","",VLOOKUP($H124,구분표!$K$3:$M$151,3,FALSE))</x:f>
        <x:v/>
      </x:c>
      <x:c r="K124" s="233"/>
      <x:c r="L124" s="233"/>
      <x:c r="M124" s="459" t="str">
        <x:f t="shared" si="141"/>
        <x:v/>
      </x:c>
      <x:c r="N124" s="459" t="str">
        <x:f t="shared" si="142"/>
        <x:v/>
      </x:c>
      <x:c r="O124" s="461" t="str">
        <x:f t="shared" si="123"/>
        <x:v/>
      </x:c>
      <x:c r="P124" s="460"/>
      <x:c r="Q124" s="461">
        <x:f t="shared" si="124"/>
        <x:v>0</x:v>
      </x:c>
      <x:c r="R124" s="462"/>
      <x:c r="S124" s="463">
        <x:f t="shared" si="125"/>
        <x:v>0</x:v>
      </x:c>
      <x:c r="T124" s="162" t="str">
        <x:f t="shared" si="126"/>
        <x:v>X</x:v>
      </x:c>
      <x:c r="U124" s="552"/>
      <x:c r="V124" s="331"/>
      <x:c r="W124" s="221"/>
      <x:c r="X124" s="223"/>
      <x:c r="Y124" s="334"/>
      <x:c r="Z124" s="334"/>
      <x:c r="AA124" s="29"/>
      <x:c r="AB124" s="486">
        <x:f t="shared" si="127"/>
        <x:v>0</x:v>
      </x:c>
      <x:c r="AC124" s="487">
        <x:f t="shared" si="128"/>
        <x:v>0</x:v>
      </x:c>
      <x:c r="AD124" s="487">
        <x:f t="shared" si="129"/>
        <x:v>0</x:v>
      </x:c>
      <x:c r="AE124" s="487">
        <x:f t="shared" si="130"/>
        <x:v>0</x:v>
      </x:c>
      <x:c r="AF124" s="374" t="str">
        <x:f t="shared" si="131"/>
        <x:v/>
      </x:c>
      <x:c r="AG124" s="93"/>
      <x:c r="AH124" s="488">
        <x:f t="shared" si="132"/>
        <x:v>0</x:v>
      </x:c>
      <x:c r="AI124" s="487">
        <x:f t="shared" si="133"/>
        <x:v>0</x:v>
      </x:c>
      <x:c r="AJ124" s="487">
        <x:f t="shared" si="134"/>
        <x:v>0</x:v>
      </x:c>
      <x:c r="AK124" s="487">
        <x:f t="shared" si="135"/>
        <x:v>0</x:v>
      </x:c>
      <x:c r="AL124" s="374" t="str">
        <x:f t="shared" si="136"/>
        <x:v/>
      </x:c>
      <x:c r="AM124" s="92"/>
      <x:c r="AN124" s="221"/>
      <x:c r="AO124" s="374" t="str">
        <x:f>IF($AP124="","",IF($AN124="세입없음","OK",IF(OR($AP124="재원확인",$AN124=""),"@@",IF(COUNTIF('3. 일입'!$AK$8:$AK$2000,$AN124),"OK","@@"))))</x:f>
        <x:v/>
      </x:c>
      <x:c r="AP124" s="356" t="str">
        <x:f t="shared" si="137"/>
        <x:v/>
      </x:c>
      <x:c r="AQ124" s="374" t="str">
        <x:f>IF(AND($AN124="",$AP124=""),"",IF(AND($AN124&lt;&gt;"",$AP124&lt;&gt;""),IF(AN124="세입없음","OK",IF(VLOOKUP($AN124,'3. 일입'!$AK$7:$AL$2000,2,FALSE)=$AP124,"OK","@@")),"@@"))</x:f>
        <x:v/>
      </x:c>
      <x:c r="AR124" s="93"/>
      <x:c r="AS124" s="533"/>
      <x:c r="AT124" s="374" t="str">
        <x:f>IF($AS124="","",IF($AS124="세입없음","OK",IF(COUNTIF('3. 일입'!$AN$8:$AN$2000,$AS124),"OK","@@")))</x:f>
        <x:v/>
      </x:c>
      <x:c r="AU124" s="356" t="str">
        <x:f t="shared" si="138"/>
        <x:v/>
      </x:c>
      <x:c r="AV124" s="374" t="str">
        <x:f t="shared" si="139"/>
        <x:v/>
      </x:c>
      <x:c r="AW124" s="93"/>
      <x:c r="AX124" s="348"/>
      <x:c r="AY124" s="29"/>
    </x:row>
    <x:row r="125" spans="1:51" s="20" customFormat="1" ht="80.099999999999994" customHeight="1">
      <x:c r="A125" s="155" t="str">
        <x:f>IF(D125="","",COUNTA($C$7:C125)-COUNTBLANK($C$7:C125)+8)</x:f>
        <x:v/>
      </x:c>
      <x:c r="B125" s="156" t="str">
        <x: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x:f>
        <x:v/>
      </x:c>
      <x:c r="C125" s="156" t="str">
        <x:f>IF(D125="","",IF(OR(D125="교육지원과",D125="총무과",D125="인사과"),"직접입력",VLOOKUP(D125,구분표!$A$3:$C$258,3,)))</x:f>
        <x:v/>
      </x:c>
      <x:c r="D125" s="219"/>
      <x:c r="E125" s="213"/>
      <x:c r="F125" s="388" t="str">
        <x:f t="shared" si="140"/>
        <x:v/>
      </x:c>
      <x:c r="G125" s="388" t="str">
        <x:f t="shared" si="140"/>
        <x:v/>
      </x:c>
      <x:c r="H125" s="213"/>
      <x:c r="I125" s="156" t="str">
        <x:f>IF(H125="","",VLOOKUP($H125,구분표!$K$3:$M$151,2,FALSE))</x:f>
        <x:v/>
      </x:c>
      <x:c r="J125" s="156" t="str">
        <x:f>IF(I125="","",VLOOKUP($H125,구분표!$K$3:$M$151,3,FALSE))</x:f>
        <x:v/>
      </x:c>
      <x:c r="K125" s="233"/>
      <x:c r="L125" s="233"/>
      <x:c r="M125" s="459" t="str">
        <x:f t="shared" si="141"/>
        <x:v/>
      </x:c>
      <x:c r="N125" s="459" t="str">
        <x:f t="shared" si="142"/>
        <x:v/>
      </x:c>
      <x:c r="O125" s="461" t="str">
        <x:f t="shared" si="123"/>
        <x:v/>
      </x:c>
      <x:c r="P125" s="460"/>
      <x:c r="Q125" s="461">
        <x:f t="shared" si="124"/>
        <x:v>0</x:v>
      </x:c>
      <x:c r="R125" s="462"/>
      <x:c r="S125" s="463">
        <x:f t="shared" si="125"/>
        <x:v>0</x:v>
      </x:c>
      <x:c r="T125" s="162" t="str">
        <x:f t="shared" si="126"/>
        <x:v>X</x:v>
      </x:c>
      <x:c r="U125" s="552"/>
      <x:c r="V125" s="331"/>
      <x:c r="W125" s="221"/>
      <x:c r="X125" s="223"/>
      <x:c r="Y125" s="334"/>
      <x:c r="Z125" s="334"/>
      <x:c r="AA125" s="29"/>
      <x:c r="AB125" s="486">
        <x:f t="shared" si="127"/>
        <x:v>0</x:v>
      </x:c>
      <x:c r="AC125" s="487">
        <x:f t="shared" si="128"/>
        <x:v>0</x:v>
      </x:c>
      <x:c r="AD125" s="487">
        <x:f t="shared" si="129"/>
        <x:v>0</x:v>
      </x:c>
      <x:c r="AE125" s="487">
        <x:f t="shared" si="130"/>
        <x:v>0</x:v>
      </x:c>
      <x:c r="AF125" s="374" t="str">
        <x:f t="shared" si="131"/>
        <x:v/>
      </x:c>
      <x:c r="AG125" s="93"/>
      <x:c r="AH125" s="488">
        <x:f t="shared" si="132"/>
        <x:v>0</x:v>
      </x:c>
      <x:c r="AI125" s="487">
        <x:f t="shared" si="133"/>
        <x:v>0</x:v>
      </x:c>
      <x:c r="AJ125" s="487">
        <x:f t="shared" si="134"/>
        <x:v>0</x:v>
      </x:c>
      <x:c r="AK125" s="487">
        <x:f t="shared" si="135"/>
        <x:v>0</x:v>
      </x:c>
      <x:c r="AL125" s="374" t="str">
        <x:f t="shared" si="136"/>
        <x:v/>
      </x:c>
      <x:c r="AM125" s="92"/>
      <x:c r="AN125" s="221"/>
      <x:c r="AO125" s="374" t="str">
        <x:f>IF($AP125="","",IF($AN125="세입없음","OK",IF(OR($AP125="재원확인",$AN125=""),"@@",IF(COUNTIF('3. 일입'!$AK$8:$AK$2000,$AN125),"OK","@@"))))</x:f>
        <x:v/>
      </x:c>
      <x:c r="AP125" s="356" t="str">
        <x:f t="shared" si="137"/>
        <x:v/>
      </x:c>
      <x:c r="AQ125" s="374" t="str">
        <x:f>IF(AND($AN125="",$AP125=""),"",IF(AND($AN125&lt;&gt;"",$AP125&lt;&gt;""),IF(AN125="세입없음","OK",IF(VLOOKUP($AN125,'3. 일입'!$AK$7:$AL$2000,2,FALSE)=$AP125,"OK","@@")),"@@"))</x:f>
        <x:v/>
      </x:c>
      <x:c r="AR125" s="93"/>
      <x:c r="AS125" s="533"/>
      <x:c r="AT125" s="374" t="str">
        <x:f>IF($AS125="","",IF($AS125="세입없음","OK",IF(COUNTIF('3. 일입'!$AN$8:$AN$2000,$AS125),"OK","@@")))</x:f>
        <x:v/>
      </x:c>
      <x:c r="AU125" s="356" t="str">
        <x:f t="shared" si="138"/>
        <x:v/>
      </x:c>
      <x:c r="AV125" s="374" t="str">
        <x:f t="shared" si="139"/>
        <x:v/>
      </x:c>
      <x:c r="AW125" s="93"/>
      <x:c r="AX125" s="348"/>
      <x:c r="AY125" s="29"/>
    </x:row>
    <x:row r="126" spans="1:51" s="20" customFormat="1" ht="80.099999999999994" customHeight="1">
      <x:c r="A126" s="155" t="str">
        <x:f>IF(D126="","",COUNTA($C$7:C126)-COUNTBLANK($C$7:C126)+8)</x:f>
        <x:v/>
      </x:c>
      <x:c r="B126" s="156" t="str">
        <x: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x:f>
        <x:v/>
      </x:c>
      <x:c r="C126" s="156" t="str">
        <x:f>IF(D126="","",IF(OR(D126="교육지원과",D126="총무과",D126="인사과"),"직접입력",VLOOKUP(D126,구분표!$A$3:$C$258,3,)))</x:f>
        <x:v/>
      </x:c>
      <x:c r="D126" s="219"/>
      <x:c r="E126" s="213"/>
      <x:c r="F126" s="388" t="str">
        <x:f t="shared" si="140"/>
        <x:v/>
      </x:c>
      <x:c r="G126" s="388" t="str">
        <x:f t="shared" si="140"/>
        <x:v/>
      </x:c>
      <x:c r="H126" s="213"/>
      <x:c r="I126" s="156" t="str">
        <x:f>IF(H126="","",VLOOKUP($H126,구분표!$K$3:$M$151,2,FALSE))</x:f>
        <x:v/>
      </x:c>
      <x:c r="J126" s="156" t="str">
        <x:f>IF(I126="","",VLOOKUP($H126,구분표!$K$3:$M$151,3,FALSE))</x:f>
        <x:v/>
      </x:c>
      <x:c r="K126" s="233"/>
      <x:c r="L126" s="233"/>
      <x:c r="M126" s="459" t="str">
        <x:f t="shared" si="141"/>
        <x:v/>
      </x:c>
      <x:c r="N126" s="459" t="str">
        <x:f t="shared" si="142"/>
        <x:v/>
      </x:c>
      <x:c r="O126" s="461" t="str">
        <x:f t="shared" si="123"/>
        <x:v/>
      </x:c>
      <x:c r="P126" s="460"/>
      <x:c r="Q126" s="461">
        <x:f t="shared" si="124"/>
        <x:v>0</x:v>
      </x:c>
      <x:c r="R126" s="462"/>
      <x:c r="S126" s="463">
        <x:f t="shared" si="125"/>
        <x:v>0</x:v>
      </x:c>
      <x:c r="T126" s="162" t="str">
        <x:f t="shared" si="126"/>
        <x:v>X</x:v>
      </x:c>
      <x:c r="U126" s="552"/>
      <x:c r="V126" s="331"/>
      <x:c r="W126" s="221"/>
      <x:c r="X126" s="223"/>
      <x:c r="Y126" s="334"/>
      <x:c r="Z126" s="334"/>
      <x:c r="AA126" s="29"/>
      <x:c r="AB126" s="486">
        <x:f t="shared" si="127"/>
        <x:v>0</x:v>
      </x:c>
      <x:c r="AC126" s="487">
        <x:f t="shared" si="128"/>
        <x:v>0</x:v>
      </x:c>
      <x:c r="AD126" s="487">
        <x:f t="shared" si="129"/>
        <x:v>0</x:v>
      </x:c>
      <x:c r="AE126" s="487">
        <x:f t="shared" si="130"/>
        <x:v>0</x:v>
      </x:c>
      <x:c r="AF126" s="374" t="str">
        <x:f t="shared" si="131"/>
        <x:v/>
      </x:c>
      <x:c r="AG126" s="93"/>
      <x:c r="AH126" s="488">
        <x:f t="shared" si="132"/>
        <x:v>0</x:v>
      </x:c>
      <x:c r="AI126" s="487">
        <x:f t="shared" si="133"/>
        <x:v>0</x:v>
      </x:c>
      <x:c r="AJ126" s="487">
        <x:f t="shared" si="134"/>
        <x:v>0</x:v>
      </x:c>
      <x:c r="AK126" s="487">
        <x:f t="shared" si="135"/>
        <x:v>0</x:v>
      </x:c>
      <x:c r="AL126" s="374" t="str">
        <x:f t="shared" si="136"/>
        <x:v/>
      </x:c>
      <x:c r="AM126" s="92"/>
      <x:c r="AN126" s="221"/>
      <x:c r="AO126" s="374" t="str">
        <x:f>IF($AP126="","",IF($AN126="세입없음","OK",IF(OR($AP126="재원확인",$AN126=""),"@@",IF(COUNTIF('3. 일입'!$AK$8:$AK$2000,$AN126),"OK","@@"))))</x:f>
        <x:v/>
      </x:c>
      <x:c r="AP126" s="356" t="str">
        <x:f t="shared" si="137"/>
        <x:v/>
      </x:c>
      <x:c r="AQ126" s="374" t="str">
        <x:f>IF(AND($AN126="",$AP126=""),"",IF(AND($AN126&lt;&gt;"",$AP126&lt;&gt;""),IF(AN126="세입없음","OK",IF(VLOOKUP($AN126,'3. 일입'!$AK$7:$AL$2000,2,FALSE)=$AP126,"OK","@@")),"@@"))</x:f>
        <x:v/>
      </x:c>
      <x:c r="AR126" s="93"/>
      <x:c r="AS126" s="533"/>
      <x:c r="AT126" s="374" t="str">
        <x:f>IF($AS126="","",IF($AS126="세입없음","OK",IF(COUNTIF('3. 일입'!$AN$8:$AN$2000,$AS126),"OK","@@")))</x:f>
        <x:v/>
      </x:c>
      <x:c r="AU126" s="356" t="str">
        <x:f t="shared" si="138"/>
        <x:v/>
      </x:c>
      <x:c r="AV126" s="374" t="str">
        <x:f t="shared" si="139"/>
        <x:v/>
      </x:c>
      <x:c r="AW126" s="93"/>
      <x:c r="AX126" s="348"/>
      <x:c r="AY126" s="29"/>
    </x:row>
    <x:row r="127" spans="1:51" s="20" customFormat="1" ht="80.099999999999994" customHeight="1">
      <x:c r="A127" s="155" t="str">
        <x:f>IF(D127="","",COUNTA($C$7:C127)-COUNTBLANK($C$7:C127)+8)</x:f>
        <x:v/>
      </x:c>
      <x:c r="B127" s="156" t="str">
        <x: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x:f>
        <x:v/>
      </x:c>
      <x:c r="C127" s="156" t="str">
        <x:f>IF(D127="","",IF(OR(D127="교육지원과",D127="총무과",D127="인사과"),"직접입력",VLOOKUP(D127,구분표!$A$3:$C$258,3,)))</x:f>
        <x:v/>
      </x:c>
      <x:c r="D127" s="219"/>
      <x:c r="E127" s="213"/>
      <x:c r="F127" s="388" t="str">
        <x:f t="shared" si="140"/>
        <x:v/>
      </x:c>
      <x:c r="G127" s="388" t="str">
        <x:f t="shared" si="140"/>
        <x:v/>
      </x:c>
      <x:c r="H127" s="213"/>
      <x:c r="I127" s="156" t="str">
        <x:f>IF(H127="","",VLOOKUP($H127,구분표!$K$3:$M$151,2,FALSE))</x:f>
        <x:v/>
      </x:c>
      <x:c r="J127" s="156" t="str">
        <x:f>IF(I127="","",VLOOKUP($H127,구분표!$K$3:$M$151,3,FALSE))</x:f>
        <x:v/>
      </x:c>
      <x:c r="K127" s="233"/>
      <x:c r="L127" s="233"/>
      <x:c r="M127" s="459" t="str">
        <x:f t="shared" si="141"/>
        <x:v/>
      </x:c>
      <x:c r="N127" s="459" t="str">
        <x:f t="shared" si="142"/>
        <x:v/>
      </x:c>
      <x:c r="O127" s="461" t="str">
        <x:f t="shared" si="123"/>
        <x:v/>
      </x:c>
      <x:c r="P127" s="460"/>
      <x:c r="Q127" s="461">
        <x:f t="shared" si="124"/>
        <x:v>0</x:v>
      </x:c>
      <x:c r="R127" s="462"/>
      <x:c r="S127" s="463">
        <x:f t="shared" si="125"/>
        <x:v>0</x:v>
      </x:c>
      <x:c r="T127" s="162" t="str">
        <x:f t="shared" si="126"/>
        <x:v>X</x:v>
      </x:c>
      <x:c r="U127" s="552"/>
      <x:c r="V127" s="331"/>
      <x:c r="W127" s="221"/>
      <x:c r="X127" s="223"/>
      <x:c r="Y127" s="334"/>
      <x:c r="Z127" s="334"/>
      <x:c r="AA127" s="29"/>
      <x:c r="AB127" s="486">
        <x:f t="shared" si="127"/>
        <x:v>0</x:v>
      </x:c>
      <x:c r="AC127" s="487">
        <x:f t="shared" si="128"/>
        <x:v>0</x:v>
      </x:c>
      <x:c r="AD127" s="487">
        <x:f t="shared" si="129"/>
        <x:v>0</x:v>
      </x:c>
      <x:c r="AE127" s="487">
        <x:f t="shared" si="130"/>
        <x:v>0</x:v>
      </x:c>
      <x:c r="AF127" s="374" t="str">
        <x:f t="shared" si="131"/>
        <x:v/>
      </x:c>
      <x:c r="AG127" s="93"/>
      <x:c r="AH127" s="488">
        <x:f t="shared" si="132"/>
        <x:v>0</x:v>
      </x:c>
      <x:c r="AI127" s="487">
        <x:f t="shared" si="133"/>
        <x:v>0</x:v>
      </x:c>
      <x:c r="AJ127" s="487">
        <x:f t="shared" si="134"/>
        <x:v>0</x:v>
      </x:c>
      <x:c r="AK127" s="487">
        <x:f t="shared" si="135"/>
        <x:v>0</x:v>
      </x:c>
      <x:c r="AL127" s="374" t="str">
        <x:f t="shared" si="136"/>
        <x:v/>
      </x:c>
      <x:c r="AM127" s="92"/>
      <x:c r="AN127" s="221"/>
      <x:c r="AO127" s="374" t="str">
        <x:f>IF($AP127="","",IF($AN127="세입없음","OK",IF(OR($AP127="재원확인",$AN127=""),"@@",IF(COUNTIF('3. 일입'!$AK$8:$AK$2000,$AN127),"OK","@@"))))</x:f>
        <x:v/>
      </x:c>
      <x:c r="AP127" s="356" t="str">
        <x:f t="shared" si="137"/>
        <x:v/>
      </x:c>
      <x:c r="AQ127" s="374" t="str">
        <x:f>IF(AND($AN127="",$AP127=""),"",IF(AND($AN127&lt;&gt;"",$AP127&lt;&gt;""),IF(AN127="세입없음","OK",IF(VLOOKUP($AN127,'3. 일입'!$AK$7:$AL$2000,2,FALSE)=$AP127,"OK","@@")),"@@"))</x:f>
        <x:v/>
      </x:c>
      <x:c r="AR127" s="93"/>
      <x:c r="AS127" s="533"/>
      <x:c r="AT127" s="374" t="str">
        <x:f>IF($AS127="","",IF($AS127="세입없음","OK",IF(COUNTIF('3. 일입'!$AN$8:$AN$2000,$AS127),"OK","@@")))</x:f>
        <x:v/>
      </x:c>
      <x:c r="AU127" s="356" t="str">
        <x:f t="shared" si="138"/>
        <x:v/>
      </x:c>
      <x:c r="AV127" s="374" t="str">
        <x:f t="shared" si="139"/>
        <x:v/>
      </x:c>
      <x:c r="AW127" s="93"/>
      <x:c r="AX127" s="348"/>
      <x:c r="AY127" s="29"/>
    </x:row>
    <x:row r="128" spans="1:51" s="20" customFormat="1" ht="80.099999999999994" customHeight="1">
      <x:c r="A128" s="155" t="str">
        <x:f>IF(D128="","",COUNTA($C$7:C128)-COUNTBLANK($C$7:C128)+8)</x:f>
        <x:v/>
      </x:c>
      <x:c r="B128" s="156" t="str">
        <x: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x:f>
        <x:v/>
      </x:c>
      <x:c r="C128" s="156" t="str">
        <x:f>IF(D128="","",IF(OR(D128="교육지원과",D128="총무과",D128="인사과"),"직접입력",VLOOKUP(D128,구분표!$A$3:$C$258,3,)))</x:f>
        <x:v/>
      </x:c>
      <x:c r="D128" s="219"/>
      <x:c r="E128" s="213"/>
      <x:c r="F128" s="388" t="str">
        <x:f t="shared" si="140"/>
        <x:v/>
      </x:c>
      <x:c r="G128" s="388" t="str">
        <x:f t="shared" si="140"/>
        <x:v/>
      </x:c>
      <x:c r="H128" s="213"/>
      <x:c r="I128" s="156" t="str">
        <x:f>IF(H128="","",VLOOKUP($H128,구분표!$K$3:$M$151,2,FALSE))</x:f>
        <x:v/>
      </x:c>
      <x:c r="J128" s="156" t="str">
        <x:f>IF(I128="","",VLOOKUP($H128,구분표!$K$3:$M$151,3,FALSE))</x:f>
        <x:v/>
      </x:c>
      <x:c r="K128" s="233"/>
      <x:c r="L128" s="233"/>
      <x:c r="M128" s="459" t="str">
        <x:f t="shared" si="141"/>
        <x:v/>
      </x:c>
      <x:c r="N128" s="459" t="str">
        <x:f t="shared" si="142"/>
        <x:v/>
      </x:c>
      <x:c r="O128" s="461" t="str">
        <x:f t="shared" si="123"/>
        <x:v/>
      </x:c>
      <x:c r="P128" s="460"/>
      <x:c r="Q128" s="461">
        <x:f t="shared" si="124"/>
        <x:v>0</x:v>
      </x:c>
      <x:c r="R128" s="462"/>
      <x:c r="S128" s="463">
        <x:f t="shared" si="125"/>
        <x:v>0</x:v>
      </x:c>
      <x:c r="T128" s="162" t="str">
        <x:f t="shared" si="126"/>
        <x:v>X</x:v>
      </x:c>
      <x:c r="U128" s="552"/>
      <x:c r="V128" s="331"/>
      <x:c r="W128" s="221"/>
      <x:c r="X128" s="223"/>
      <x:c r="Y128" s="334"/>
      <x:c r="Z128" s="334"/>
      <x:c r="AA128" s="29"/>
      <x:c r="AB128" s="486">
        <x:f t="shared" si="127"/>
        <x:v>0</x:v>
      </x:c>
      <x:c r="AC128" s="487">
        <x:f t="shared" si="128"/>
        <x:v>0</x:v>
      </x:c>
      <x:c r="AD128" s="487">
        <x:f t="shared" si="129"/>
        <x:v>0</x:v>
      </x:c>
      <x:c r="AE128" s="487">
        <x:f t="shared" si="130"/>
        <x:v>0</x:v>
      </x:c>
      <x:c r="AF128" s="374" t="str">
        <x:f t="shared" si="131"/>
        <x:v/>
      </x:c>
      <x:c r="AG128" s="93"/>
      <x:c r="AH128" s="488">
        <x:f t="shared" si="132"/>
        <x:v>0</x:v>
      </x:c>
      <x:c r="AI128" s="487">
        <x:f t="shared" si="133"/>
        <x:v>0</x:v>
      </x:c>
      <x:c r="AJ128" s="487">
        <x:f t="shared" si="134"/>
        <x:v>0</x:v>
      </x:c>
      <x:c r="AK128" s="487">
        <x:f t="shared" si="135"/>
        <x:v>0</x:v>
      </x:c>
      <x:c r="AL128" s="374" t="str">
        <x:f t="shared" si="136"/>
        <x:v/>
      </x:c>
      <x:c r="AM128" s="92"/>
      <x:c r="AN128" s="221"/>
      <x:c r="AO128" s="374" t="str">
        <x:f>IF($AP128="","",IF($AN128="세입없음","OK",IF(OR($AP128="재원확인",$AN128=""),"@@",IF(COUNTIF('3. 일입'!$AK$8:$AK$2000,$AN128),"OK","@@"))))</x:f>
        <x:v/>
      </x:c>
      <x:c r="AP128" s="356" t="str">
        <x:f t="shared" si="137"/>
        <x:v/>
      </x:c>
      <x:c r="AQ128" s="374" t="str">
        <x:f>IF(AND($AN128="",$AP128=""),"",IF(AND($AN128&lt;&gt;"",$AP128&lt;&gt;""),IF(AN128="세입없음","OK",IF(VLOOKUP($AN128,'3. 일입'!$AK$7:$AL$2000,2,FALSE)=$AP128,"OK","@@")),"@@"))</x:f>
        <x:v/>
      </x:c>
      <x:c r="AR128" s="93"/>
      <x:c r="AS128" s="533"/>
      <x:c r="AT128" s="374" t="str">
        <x:f>IF($AS128="","",IF($AS128="세입없음","OK",IF(COUNTIF('3. 일입'!$AN$8:$AN$2000,$AS128),"OK","@@")))</x:f>
        <x:v/>
      </x:c>
      <x:c r="AU128" s="356" t="str">
        <x:f t="shared" si="138"/>
        <x:v/>
      </x:c>
      <x:c r="AV128" s="374" t="str">
        <x:f t="shared" si="139"/>
        <x:v/>
      </x:c>
      <x:c r="AW128" s="93"/>
      <x:c r="AX128" s="348"/>
      <x:c r="AY128" s="29"/>
    </x:row>
    <x:row r="129" spans="1:51" s="20" customFormat="1" ht="80.099999999999994" customHeight="1">
      <x:c r="A129" s="155" t="str">
        <x:f>IF(D129="","",COUNTA($C$7:C129)-COUNTBLANK($C$7:C129)+8)</x:f>
        <x:v/>
      </x:c>
      <x:c r="B129" s="156" t="str">
        <x: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x:f>
        <x:v/>
      </x:c>
      <x:c r="C129" s="156" t="str">
        <x:f>IF(D129="","",IF(OR(D129="교육지원과",D129="총무과",D129="인사과"),"직접입력",VLOOKUP(D129,구분표!$A$3:$C$258,3,)))</x:f>
        <x:v/>
      </x:c>
      <x:c r="D129" s="219"/>
      <x:c r="E129" s="213"/>
      <x:c r="F129" s="388" t="str">
        <x:f t="shared" si="140"/>
        <x:v/>
      </x:c>
      <x:c r="G129" s="388" t="str">
        <x:f t="shared" si="140"/>
        <x:v/>
      </x:c>
      <x:c r="H129" s="213"/>
      <x:c r="I129" s="156" t="str">
        <x:f>IF(H129="","",VLOOKUP($H129,구분표!$K$3:$M$151,2,FALSE))</x:f>
        <x:v/>
      </x:c>
      <x:c r="J129" s="156" t="str">
        <x:f>IF(I129="","",VLOOKUP($H129,구분표!$K$3:$M$151,3,FALSE))</x:f>
        <x:v/>
      </x:c>
      <x:c r="K129" s="233"/>
      <x:c r="L129" s="233"/>
      <x:c r="M129" s="459" t="str">
        <x:f t="shared" si="141"/>
        <x:v/>
      </x:c>
      <x:c r="N129" s="459" t="str">
        <x:f t="shared" si="142"/>
        <x:v/>
      </x:c>
      <x:c r="O129" s="461" t="str">
        <x:f t="shared" si="123"/>
        <x:v/>
      </x:c>
      <x:c r="P129" s="460"/>
      <x:c r="Q129" s="461">
        <x:f t="shared" si="124"/>
        <x:v>0</x:v>
      </x:c>
      <x:c r="R129" s="462"/>
      <x:c r="S129" s="463">
        <x:f t="shared" si="125"/>
        <x:v>0</x:v>
      </x:c>
      <x:c r="T129" s="162" t="str">
        <x:f t="shared" si="126"/>
        <x:v>X</x:v>
      </x:c>
      <x:c r="U129" s="552"/>
      <x:c r="V129" s="331"/>
      <x:c r="W129" s="221"/>
      <x:c r="X129" s="223"/>
      <x:c r="Y129" s="334"/>
      <x:c r="Z129" s="334"/>
      <x:c r="AA129" s="29"/>
      <x:c r="AB129" s="486">
        <x:f t="shared" si="127"/>
        <x:v>0</x:v>
      </x:c>
      <x:c r="AC129" s="487">
        <x:f t="shared" si="128"/>
        <x:v>0</x:v>
      </x:c>
      <x:c r="AD129" s="487">
        <x:f t="shared" si="129"/>
        <x:v>0</x:v>
      </x:c>
      <x:c r="AE129" s="487">
        <x:f t="shared" si="130"/>
        <x:v>0</x:v>
      </x:c>
      <x:c r="AF129" s="374" t="str">
        <x:f t="shared" si="131"/>
        <x:v/>
      </x:c>
      <x:c r="AG129" s="93"/>
      <x:c r="AH129" s="488">
        <x:f t="shared" si="132"/>
        <x:v>0</x:v>
      </x:c>
      <x:c r="AI129" s="487">
        <x:f t="shared" si="133"/>
        <x:v>0</x:v>
      </x:c>
      <x:c r="AJ129" s="487">
        <x:f t="shared" si="134"/>
        <x:v>0</x:v>
      </x:c>
      <x:c r="AK129" s="487">
        <x:f t="shared" si="135"/>
        <x:v>0</x:v>
      </x:c>
      <x:c r="AL129" s="374" t="str">
        <x:f t="shared" si="136"/>
        <x:v/>
      </x:c>
      <x:c r="AM129" s="92"/>
      <x:c r="AN129" s="221"/>
      <x:c r="AO129" s="374" t="str">
        <x:f>IF($AP129="","",IF($AN129="세입없음","OK",IF(OR($AP129="재원확인",$AN129=""),"@@",IF(COUNTIF('3. 일입'!$AK$8:$AK$2000,$AN129),"OK","@@"))))</x:f>
        <x:v/>
      </x:c>
      <x:c r="AP129" s="356" t="str">
        <x:f t="shared" si="137"/>
        <x:v/>
      </x:c>
      <x:c r="AQ129" s="374" t="str">
        <x:f>IF(AND($AN129="",$AP129=""),"",IF(AND($AN129&lt;&gt;"",$AP129&lt;&gt;""),IF(AN129="세입없음","OK",IF(VLOOKUP($AN129,'3. 일입'!$AK$7:$AL$2000,2,FALSE)=$AP129,"OK","@@")),"@@"))</x:f>
        <x:v/>
      </x:c>
      <x:c r="AR129" s="93"/>
      <x:c r="AS129" s="533"/>
      <x:c r="AT129" s="374" t="str">
        <x:f>IF($AS129="","",IF($AS129="세입없음","OK",IF(COUNTIF('3. 일입'!$AN$8:$AN$2000,$AS129),"OK","@@")))</x:f>
        <x:v/>
      </x:c>
      <x:c r="AU129" s="356" t="str">
        <x:f t="shared" si="138"/>
        <x:v/>
      </x:c>
      <x:c r="AV129" s="374" t="str">
        <x:f t="shared" si="139"/>
        <x:v/>
      </x:c>
      <x:c r="AW129" s="93"/>
      <x:c r="AX129" s="348"/>
      <x:c r="AY129" s="29"/>
    </x:row>
    <x:row r="130" spans="1:51" s="20" customFormat="1" ht="80.099999999999994" customHeight="1">
      <x:c r="A130" s="155" t="str">
        <x:f>IF(D130="","",COUNTA($C$7:C130)-COUNTBLANK($C$7:C130)+8)</x:f>
        <x:v/>
      </x:c>
      <x:c r="B130" s="156" t="str">
        <x: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x:f>
        <x:v/>
      </x:c>
      <x:c r="C130" s="156" t="str">
        <x:f>IF(D130="","",IF(OR(D130="교육지원과",D130="총무과",D130="인사과"),"직접입력",VLOOKUP(D130,구분표!$A$3:$C$258,3,)))</x:f>
        <x:v/>
      </x:c>
      <x:c r="D130" s="219"/>
      <x:c r="E130" s="213"/>
      <x:c r="F130" s="388" t="str">
        <x:f t="shared" si="140"/>
        <x:v/>
      </x:c>
      <x:c r="G130" s="388" t="str">
        <x:f t="shared" si="140"/>
        <x:v/>
      </x:c>
      <x:c r="H130" s="213"/>
      <x:c r="I130" s="156" t="str">
        <x:f>IF(H130="","",VLOOKUP($H130,구분표!$K$3:$M$151,2,FALSE))</x:f>
        <x:v/>
      </x:c>
      <x:c r="J130" s="156" t="str">
        <x:f>IF(I130="","",VLOOKUP($H130,구분표!$K$3:$M$151,3,FALSE))</x:f>
        <x:v/>
      </x:c>
      <x:c r="K130" s="233"/>
      <x:c r="L130" s="233"/>
      <x:c r="M130" s="459" t="str">
        <x:f t="shared" si="141"/>
        <x:v/>
      </x:c>
      <x:c r="N130" s="459" t="str">
        <x:f t="shared" si="142"/>
        <x:v/>
      </x:c>
      <x:c r="O130" s="461" t="str">
        <x:f t="shared" si="123"/>
        <x:v/>
      </x:c>
      <x:c r="P130" s="460"/>
      <x:c r="Q130" s="461">
        <x:f t="shared" si="124"/>
        <x:v>0</x:v>
      </x:c>
      <x:c r="R130" s="462"/>
      <x:c r="S130" s="463">
        <x:f t="shared" si="125"/>
        <x:v>0</x:v>
      </x:c>
      <x:c r="T130" s="162" t="str">
        <x:f t="shared" si="126"/>
        <x:v>X</x:v>
      </x:c>
      <x:c r="U130" s="552"/>
      <x:c r="V130" s="331"/>
      <x:c r="W130" s="221"/>
      <x:c r="X130" s="223"/>
      <x:c r="Y130" s="334"/>
      <x:c r="Z130" s="334"/>
      <x:c r="AA130" s="29"/>
      <x:c r="AB130" s="486">
        <x:f t="shared" si="127"/>
        <x:v>0</x:v>
      </x:c>
      <x:c r="AC130" s="487">
        <x:f t="shared" si="128"/>
        <x:v>0</x:v>
      </x:c>
      <x:c r="AD130" s="487">
        <x:f t="shared" si="129"/>
        <x:v>0</x:v>
      </x:c>
      <x:c r="AE130" s="487">
        <x:f t="shared" si="130"/>
        <x:v>0</x:v>
      </x:c>
      <x:c r="AF130" s="374" t="str">
        <x:f t="shared" si="131"/>
        <x:v/>
      </x:c>
      <x:c r="AG130" s="93"/>
      <x:c r="AH130" s="488">
        <x:f t="shared" si="132"/>
        <x:v>0</x:v>
      </x:c>
      <x:c r="AI130" s="487">
        <x:f t="shared" si="133"/>
        <x:v>0</x:v>
      </x:c>
      <x:c r="AJ130" s="487">
        <x:f t="shared" si="134"/>
        <x:v>0</x:v>
      </x:c>
      <x:c r="AK130" s="487">
        <x:f t="shared" si="135"/>
        <x:v>0</x:v>
      </x:c>
      <x:c r="AL130" s="374" t="str">
        <x:f t="shared" si="136"/>
        <x:v/>
      </x:c>
      <x:c r="AM130" s="92"/>
      <x:c r="AN130" s="221"/>
      <x:c r="AO130" s="374" t="str">
        <x:f>IF($AP130="","",IF($AN130="세입없음","OK",IF(OR($AP130="재원확인",$AN130=""),"@@",IF(COUNTIF('3. 일입'!$AK$8:$AK$2000,$AN130),"OK","@@"))))</x:f>
        <x:v/>
      </x:c>
      <x:c r="AP130" s="356" t="str">
        <x:f t="shared" si="137"/>
        <x:v/>
      </x:c>
      <x:c r="AQ130" s="374" t="str">
        <x:f>IF(AND($AN130="",$AP130=""),"",IF(AND($AN130&lt;&gt;"",$AP130&lt;&gt;""),IF(AN130="세입없음","OK",IF(VLOOKUP($AN130,'3. 일입'!$AK$7:$AL$2000,2,FALSE)=$AP130,"OK","@@")),"@@"))</x:f>
        <x:v/>
      </x:c>
      <x:c r="AR130" s="93"/>
      <x:c r="AS130" s="533"/>
      <x:c r="AT130" s="374" t="str">
        <x:f>IF($AS130="","",IF($AS130="세입없음","OK",IF(COUNTIF('3. 일입'!$AN$8:$AN$2000,$AS130),"OK","@@")))</x:f>
        <x:v/>
      </x:c>
      <x:c r="AU130" s="356" t="str">
        <x:f t="shared" si="138"/>
        <x:v/>
      </x:c>
      <x:c r="AV130" s="374" t="str">
        <x:f t="shared" si="139"/>
        <x:v/>
      </x:c>
      <x:c r="AW130" s="93"/>
      <x:c r="AX130" s="348"/>
      <x:c r="AY130" s="29"/>
    </x:row>
    <x:row r="131" spans="1:51" s="20" customFormat="1" ht="80.099999999999994" customHeight="1">
      <x:c r="A131" s="155" t="str">
        <x:f>IF(D131="","",COUNTA($C$7:C131)-COUNTBLANK($C$7:C131)+8)</x:f>
        <x:v/>
      </x:c>
      <x:c r="B131" s="156" t="str">
        <x: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x:f>
        <x:v/>
      </x:c>
      <x:c r="C131" s="156" t="str">
        <x:f>IF(D131="","",IF(OR(D131="교육지원과",D131="총무과",D131="인사과"),"직접입력",VLOOKUP(D131,구분표!$A$3:$C$258,3,)))</x:f>
        <x:v/>
      </x:c>
      <x:c r="D131" s="219"/>
      <x:c r="E131" s="213"/>
      <x:c r="F131" s="388" t="str">
        <x:f t="shared" si="140"/>
        <x:v/>
      </x:c>
      <x:c r="G131" s="388" t="str">
        <x:f t="shared" si="140"/>
        <x:v/>
      </x:c>
      <x:c r="H131" s="213"/>
      <x:c r="I131" s="156" t="str">
        <x:f>IF(H131="","",VLOOKUP($H131,구분표!$K$3:$M$151,2,FALSE))</x:f>
        <x:v/>
      </x:c>
      <x:c r="J131" s="156" t="str">
        <x:f>IF(I131="","",VLOOKUP($H131,구분표!$K$3:$M$151,3,FALSE))</x:f>
        <x:v/>
      </x:c>
      <x:c r="K131" s="233"/>
      <x:c r="L131" s="233"/>
      <x:c r="M131" s="459" t="str">
        <x:f t="shared" si="141"/>
        <x:v/>
      </x:c>
      <x:c r="N131" s="459" t="str">
        <x:f t="shared" si="142"/>
        <x:v/>
      </x:c>
      <x:c r="O131" s="461" t="str">
        <x:f t="shared" si="123"/>
        <x:v/>
      </x:c>
      <x:c r="P131" s="460"/>
      <x:c r="Q131" s="461">
        <x:f t="shared" si="124"/>
        <x:v>0</x:v>
      </x:c>
      <x:c r="R131" s="462"/>
      <x:c r="S131" s="463">
        <x:f t="shared" si="125"/>
        <x:v>0</x:v>
      </x:c>
      <x:c r="T131" s="162" t="str">
        <x:f t="shared" si="126"/>
        <x:v>X</x:v>
      </x:c>
      <x:c r="U131" s="552"/>
      <x:c r="V131" s="331"/>
      <x:c r="W131" s="221"/>
      <x:c r="X131" s="223"/>
      <x:c r="Y131" s="334"/>
      <x:c r="Z131" s="334"/>
      <x:c r="AA131" s="29"/>
      <x:c r="AB131" s="486">
        <x:f t="shared" si="127"/>
        <x:v>0</x:v>
      </x:c>
      <x:c r="AC131" s="487">
        <x:f t="shared" si="128"/>
        <x:v>0</x:v>
      </x:c>
      <x:c r="AD131" s="487">
        <x:f t="shared" si="129"/>
        <x:v>0</x:v>
      </x:c>
      <x:c r="AE131" s="487">
        <x:f t="shared" si="130"/>
        <x:v>0</x:v>
      </x:c>
      <x:c r="AF131" s="374" t="str">
        <x:f t="shared" si="131"/>
        <x:v/>
      </x:c>
      <x:c r="AG131" s="93"/>
      <x:c r="AH131" s="488">
        <x:f t="shared" si="132"/>
        <x:v>0</x:v>
      </x:c>
      <x:c r="AI131" s="487">
        <x:f t="shared" si="133"/>
        <x:v>0</x:v>
      </x:c>
      <x:c r="AJ131" s="487">
        <x:f t="shared" si="134"/>
        <x:v>0</x:v>
      </x:c>
      <x:c r="AK131" s="487">
        <x:f t="shared" si="135"/>
        <x:v>0</x:v>
      </x:c>
      <x:c r="AL131" s="374" t="str">
        <x:f t="shared" si="136"/>
        <x:v/>
      </x:c>
      <x:c r="AM131" s="92"/>
      <x:c r="AN131" s="221"/>
      <x:c r="AO131" s="374" t="str">
        <x:f>IF($AP131="","",IF($AN131="세입없음","OK",IF(OR($AP131="재원확인",$AN131=""),"@@",IF(COUNTIF('3. 일입'!$AK$8:$AK$2000,$AN131),"OK","@@"))))</x:f>
        <x:v/>
      </x:c>
      <x:c r="AP131" s="356" t="str">
        <x:f t="shared" si="137"/>
        <x:v/>
      </x:c>
      <x:c r="AQ131" s="374" t="str">
        <x:f>IF(AND($AN131="",$AP131=""),"",IF(AND($AN131&lt;&gt;"",$AP131&lt;&gt;""),IF(AN131="세입없음","OK",IF(VLOOKUP($AN131,'3. 일입'!$AK$7:$AL$2000,2,FALSE)=$AP131,"OK","@@")),"@@"))</x:f>
        <x:v/>
      </x:c>
      <x:c r="AR131" s="93"/>
      <x:c r="AS131" s="533"/>
      <x:c r="AT131" s="374" t="str">
        <x:f>IF($AS131="","",IF($AS131="세입없음","OK",IF(COUNTIF('3. 일입'!$AN$8:$AN$2000,$AS131),"OK","@@")))</x:f>
        <x:v/>
      </x:c>
      <x:c r="AU131" s="356" t="str">
        <x:f t="shared" si="138"/>
        <x:v/>
      </x:c>
      <x:c r="AV131" s="374" t="str">
        <x:f t="shared" si="139"/>
        <x:v/>
      </x:c>
      <x:c r="AW131" s="93"/>
      <x:c r="AX131" s="348"/>
      <x:c r="AY131" s="29"/>
    </x:row>
    <x:row r="132" spans="1:51" s="20" customFormat="1" ht="80.099999999999994" customHeight="1">
      <x:c r="A132" s="155" t="str">
        <x:f>IF(D132="","",COUNTA($C$7:C132)-COUNTBLANK($C$7:C132)+8)</x:f>
        <x:v/>
      </x:c>
      <x:c r="B132" s="156" t="str">
        <x: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x:f>
        <x:v/>
      </x:c>
      <x:c r="C132" s="156" t="str">
        <x:f>IF(D132="","",IF(OR(D132="교육지원과",D132="총무과",D132="인사과"),"직접입력",VLOOKUP(D132,구분표!$A$3:$C$258,3,)))</x:f>
        <x:v/>
      </x:c>
      <x:c r="D132" s="219"/>
      <x:c r="E132" s="213"/>
      <x:c r="F132" s="388" t="str">
        <x:f t="shared" si="140"/>
        <x:v/>
      </x:c>
      <x:c r="G132" s="388" t="str">
        <x:f t="shared" si="140"/>
        <x:v/>
      </x:c>
      <x:c r="H132" s="213"/>
      <x:c r="I132" s="156" t="str">
        <x:f>IF(H132="","",VLOOKUP($H132,구분표!$K$3:$M$151,2,FALSE))</x:f>
        <x:v/>
      </x:c>
      <x:c r="J132" s="156" t="str">
        <x:f>IF(I132="","",VLOOKUP($H132,구분표!$K$3:$M$151,3,FALSE))</x:f>
        <x:v/>
      </x:c>
      <x:c r="K132" s="233"/>
      <x:c r="L132" s="233"/>
      <x:c r="M132" s="459" t="str">
        <x:f t="shared" si="141"/>
        <x:v/>
      </x:c>
      <x:c r="N132" s="459" t="str">
        <x:f t="shared" si="142"/>
        <x:v/>
      </x:c>
      <x:c r="O132" s="461" t="str">
        <x:f t="shared" si="123"/>
        <x:v/>
      </x:c>
      <x:c r="P132" s="460"/>
      <x:c r="Q132" s="461">
        <x:f t="shared" si="124"/>
        <x:v>0</x:v>
      </x:c>
      <x:c r="R132" s="462"/>
      <x:c r="S132" s="463">
        <x:f t="shared" si="125"/>
        <x:v>0</x:v>
      </x:c>
      <x:c r="T132" s="162" t="str">
        <x:f t="shared" si="126"/>
        <x:v>X</x:v>
      </x:c>
      <x:c r="U132" s="552"/>
      <x:c r="V132" s="331"/>
      <x:c r="W132" s="221"/>
      <x:c r="X132" s="223"/>
      <x:c r="Y132" s="334"/>
      <x:c r="Z132" s="334"/>
      <x:c r="AA132" s="29"/>
      <x:c r="AB132" s="486">
        <x:f t="shared" si="127"/>
        <x:v>0</x:v>
      </x:c>
      <x:c r="AC132" s="487">
        <x:f t="shared" si="128"/>
        <x:v>0</x:v>
      </x:c>
      <x:c r="AD132" s="487">
        <x:f t="shared" si="129"/>
        <x:v>0</x:v>
      </x:c>
      <x:c r="AE132" s="487">
        <x:f t="shared" si="130"/>
        <x:v>0</x:v>
      </x:c>
      <x:c r="AF132" s="374" t="str">
        <x:f t="shared" si="131"/>
        <x:v/>
      </x:c>
      <x:c r="AG132" s="93"/>
      <x:c r="AH132" s="488">
        <x:f t="shared" si="132"/>
        <x:v>0</x:v>
      </x:c>
      <x:c r="AI132" s="487">
        <x:f t="shared" si="133"/>
        <x:v>0</x:v>
      </x:c>
      <x:c r="AJ132" s="487">
        <x:f t="shared" si="134"/>
        <x:v>0</x:v>
      </x:c>
      <x:c r="AK132" s="487">
        <x:f t="shared" si="135"/>
        <x:v>0</x:v>
      </x:c>
      <x:c r="AL132" s="374" t="str">
        <x:f t="shared" si="136"/>
        <x:v/>
      </x:c>
      <x:c r="AM132" s="92"/>
      <x:c r="AN132" s="221"/>
      <x:c r="AO132" s="374" t="str">
        <x:f>IF($AP132="","",IF($AN132="세입없음","OK",IF(OR($AP132="재원확인",$AN132=""),"@@",IF(COUNTIF('3. 일입'!$AK$8:$AK$2000,$AN132),"OK","@@"))))</x:f>
        <x:v/>
      </x:c>
      <x:c r="AP132" s="356" t="str">
        <x:f t="shared" si="137"/>
        <x:v/>
      </x:c>
      <x:c r="AQ132" s="374" t="str">
        <x:f>IF(AND($AN132="",$AP132=""),"",IF(AND($AN132&lt;&gt;"",$AP132&lt;&gt;""),IF(AN132="세입없음","OK",IF(VLOOKUP($AN132,'3. 일입'!$AK$7:$AL$2000,2,FALSE)=$AP132,"OK","@@")),"@@"))</x:f>
        <x:v/>
      </x:c>
      <x:c r="AR132" s="93"/>
      <x:c r="AS132" s="533"/>
      <x:c r="AT132" s="374" t="str">
        <x:f>IF($AS132="","",IF($AS132="세입없음","OK",IF(COUNTIF('3. 일입'!$AN$8:$AN$2000,$AS132),"OK","@@")))</x:f>
        <x:v/>
      </x:c>
      <x:c r="AU132" s="356" t="str">
        <x:f t="shared" si="138"/>
        <x:v/>
      </x:c>
      <x:c r="AV132" s="374" t="str">
        <x:f t="shared" si="139"/>
        <x:v/>
      </x:c>
      <x:c r="AW132" s="93"/>
      <x:c r="AX132" s="348"/>
      <x:c r="AY132" s="29"/>
    </x:row>
    <x:row r="133" spans="1:51" s="20" customFormat="1" ht="80.099999999999994" customHeight="1">
      <x:c r="A133" s="155" t="str">
        <x:f>IF(D133="","",COUNTA($C$7:C133)-COUNTBLANK($C$7:C133)+8)</x:f>
        <x:v/>
      </x:c>
      <x:c r="B133" s="156" t="str">
        <x: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x:f>
        <x:v/>
      </x:c>
      <x:c r="C133" s="156" t="str">
        <x:f>IF(D133="","",IF(OR(D133="교육지원과",D133="총무과",D133="인사과"),"직접입력",VLOOKUP(D133,구분표!$A$3:$C$258,3,)))</x:f>
        <x:v/>
      </x:c>
      <x:c r="D133" s="219"/>
      <x:c r="E133" s="213"/>
      <x:c r="F133" s="388" t="str">
        <x:f t="shared" si="140"/>
        <x:v/>
      </x:c>
      <x:c r="G133" s="388" t="str">
        <x:f t="shared" si="140"/>
        <x:v/>
      </x:c>
      <x:c r="H133" s="213"/>
      <x:c r="I133" s="156" t="str">
        <x:f>IF(H133="","",VLOOKUP($H133,구분표!$K$3:$M$151,2,FALSE))</x:f>
        <x:v/>
      </x:c>
      <x:c r="J133" s="156" t="str">
        <x:f>IF(I133="","",VLOOKUP($H133,구분표!$K$3:$M$151,3,FALSE))</x:f>
        <x:v/>
      </x:c>
      <x:c r="K133" s="233"/>
      <x:c r="L133" s="233"/>
      <x:c r="M133" s="459" t="str">
        <x:f t="shared" si="141"/>
        <x:v/>
      </x:c>
      <x:c r="N133" s="459" t="str">
        <x:f t="shared" si="142"/>
        <x:v/>
      </x:c>
      <x:c r="O133" s="461" t="str">
        <x:f t="shared" si="123"/>
        <x:v/>
      </x:c>
      <x:c r="P133" s="460"/>
      <x:c r="Q133" s="461">
        <x:f t="shared" si="124"/>
        <x:v>0</x:v>
      </x:c>
      <x:c r="R133" s="462"/>
      <x:c r="S133" s="463">
        <x:f t="shared" si="125"/>
        <x:v>0</x:v>
      </x:c>
      <x:c r="T133" s="162" t="str">
        <x:f t="shared" si="126"/>
        <x:v>X</x:v>
      </x:c>
      <x:c r="U133" s="552"/>
      <x:c r="V133" s="331"/>
      <x:c r="W133" s="221"/>
      <x:c r="X133" s="223"/>
      <x:c r="Y133" s="334"/>
      <x:c r="Z133" s="334"/>
      <x:c r="AA133" s="29"/>
      <x:c r="AB133" s="486">
        <x:f t="shared" si="127"/>
        <x:v>0</x:v>
      </x:c>
      <x:c r="AC133" s="487">
        <x:f t="shared" si="128"/>
        <x:v>0</x:v>
      </x:c>
      <x:c r="AD133" s="487">
        <x:f t="shared" si="129"/>
        <x:v>0</x:v>
      </x:c>
      <x:c r="AE133" s="487">
        <x:f t="shared" si="130"/>
        <x:v>0</x:v>
      </x:c>
      <x:c r="AF133" s="374" t="str">
        <x:f t="shared" si="131"/>
        <x:v/>
      </x:c>
      <x:c r="AG133" s="93"/>
      <x:c r="AH133" s="488">
        <x:f t="shared" si="132"/>
        <x:v>0</x:v>
      </x:c>
      <x:c r="AI133" s="487">
        <x:f t="shared" si="133"/>
        <x:v>0</x:v>
      </x:c>
      <x:c r="AJ133" s="487">
        <x:f t="shared" si="134"/>
        <x:v>0</x:v>
      </x:c>
      <x:c r="AK133" s="487">
        <x:f t="shared" si="135"/>
        <x:v>0</x:v>
      </x:c>
      <x:c r="AL133" s="374" t="str">
        <x:f t="shared" si="136"/>
        <x:v/>
      </x:c>
      <x:c r="AM133" s="92"/>
      <x:c r="AN133" s="221"/>
      <x:c r="AO133" s="374" t="str">
        <x:f>IF($AP133="","",IF($AN133="세입없음","OK",IF(OR($AP133="재원확인",$AN133=""),"@@",IF(COUNTIF('3. 일입'!$AK$8:$AK$2000,$AN133),"OK","@@"))))</x:f>
        <x:v/>
      </x:c>
      <x:c r="AP133" s="356" t="str">
        <x:f t="shared" si="137"/>
        <x:v/>
      </x:c>
      <x:c r="AQ133" s="374" t="str">
        <x:f>IF(AND($AN133="",$AP133=""),"",IF(AND($AN133&lt;&gt;"",$AP133&lt;&gt;""),IF(AN133="세입없음","OK",IF(VLOOKUP($AN133,'3. 일입'!$AK$7:$AL$2000,2,FALSE)=$AP133,"OK","@@")),"@@"))</x:f>
        <x:v/>
      </x:c>
      <x:c r="AR133" s="93"/>
      <x:c r="AS133" s="533"/>
      <x:c r="AT133" s="374" t="str">
        <x:f>IF($AS133="","",IF($AS133="세입없음","OK",IF(COUNTIF('3. 일입'!$AN$8:$AN$2000,$AS133),"OK","@@")))</x:f>
        <x:v/>
      </x:c>
      <x:c r="AU133" s="356" t="str">
        <x:f t="shared" si="138"/>
        <x:v/>
      </x:c>
      <x:c r="AV133" s="374" t="str">
        <x:f t="shared" si="139"/>
        <x:v/>
      </x:c>
      <x:c r="AW133" s="93"/>
      <x:c r="AX133" s="348"/>
      <x:c r="AY133" s="29"/>
    </x:row>
    <x:row r="134" spans="1:51" s="20" customFormat="1" ht="80.099999999999994" customHeight="1">
      <x:c r="A134" s="155" t="str">
        <x:f>IF(D134="","",COUNTA($C$7:C134)-COUNTBLANK($C$7:C134)+8)</x:f>
        <x:v/>
      </x:c>
      <x:c r="B134" s="156" t="str">
        <x: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x:f>
        <x:v/>
      </x:c>
      <x:c r="C134" s="156" t="str">
        <x:f>IF(D134="","",IF(OR(D134="교육지원과",D134="총무과",D134="인사과"),"직접입력",VLOOKUP(D134,구분표!$A$3:$C$258,3,)))</x:f>
        <x:v/>
      </x:c>
      <x:c r="D134" s="219"/>
      <x:c r="E134" s="213"/>
      <x:c r="F134" s="388" t="str">
        <x:f t="shared" si="140"/>
        <x:v/>
      </x:c>
      <x:c r="G134" s="388" t="str">
        <x:f t="shared" si="140"/>
        <x:v/>
      </x:c>
      <x:c r="H134" s="213"/>
      <x:c r="I134" s="156" t="str">
        <x:f>IF(H134="","",VLOOKUP($H134,구분표!$K$3:$M$151,2,FALSE))</x:f>
        <x:v/>
      </x:c>
      <x:c r="J134" s="156" t="str">
        <x:f>IF(I134="","",VLOOKUP($H134,구분표!$K$3:$M$151,3,FALSE))</x:f>
        <x:v/>
      </x:c>
      <x:c r="K134" s="233"/>
      <x:c r="L134" s="233"/>
      <x:c r="M134" s="459" t="str">
        <x:f t="shared" si="141"/>
        <x:v/>
      </x:c>
      <x:c r="N134" s="459" t="str">
        <x:f t="shared" si="142"/>
        <x:v/>
      </x:c>
      <x:c r="O134" s="461" t="str">
        <x:f t="shared" si="123"/>
        <x:v/>
      </x:c>
      <x:c r="P134" s="460"/>
      <x:c r="Q134" s="461">
        <x:f t="shared" si="124"/>
        <x:v>0</x:v>
      </x:c>
      <x:c r="R134" s="462"/>
      <x:c r="S134" s="463">
        <x:f t="shared" si="125"/>
        <x:v>0</x:v>
      </x:c>
      <x:c r="T134" s="162" t="str">
        <x:f t="shared" si="126"/>
        <x:v>X</x:v>
      </x:c>
      <x:c r="U134" s="552"/>
      <x:c r="V134" s="331"/>
      <x:c r="W134" s="221"/>
      <x:c r="X134" s="223"/>
      <x:c r="Y134" s="334"/>
      <x:c r="Z134" s="334"/>
      <x:c r="AA134" s="29"/>
      <x:c r="AB134" s="486">
        <x:f t="shared" si="127"/>
        <x:v>0</x:v>
      </x:c>
      <x:c r="AC134" s="487">
        <x:f t="shared" si="128"/>
        <x:v>0</x:v>
      </x:c>
      <x:c r="AD134" s="487">
        <x:f t="shared" si="129"/>
        <x:v>0</x:v>
      </x:c>
      <x:c r="AE134" s="487">
        <x:f t="shared" si="130"/>
        <x:v>0</x:v>
      </x:c>
      <x:c r="AF134" s="374" t="str">
        <x:f t="shared" si="131"/>
        <x:v/>
      </x:c>
      <x:c r="AG134" s="93"/>
      <x:c r="AH134" s="488">
        <x:f t="shared" si="132"/>
        <x:v>0</x:v>
      </x:c>
      <x:c r="AI134" s="487">
        <x:f t="shared" si="133"/>
        <x:v>0</x:v>
      </x:c>
      <x:c r="AJ134" s="487">
        <x:f t="shared" si="134"/>
        <x:v>0</x:v>
      </x:c>
      <x:c r="AK134" s="487">
        <x:f t="shared" si="135"/>
        <x:v>0</x:v>
      </x:c>
      <x:c r="AL134" s="374" t="str">
        <x:f t="shared" si="136"/>
        <x:v/>
      </x:c>
      <x:c r="AM134" s="92"/>
      <x:c r="AN134" s="221"/>
      <x:c r="AO134" s="374" t="str">
        <x:f>IF($AP134="","",IF($AN134="세입없음","OK",IF(OR($AP134="재원확인",$AN134=""),"@@",IF(COUNTIF('3. 일입'!$AK$8:$AK$2000,$AN134),"OK","@@"))))</x:f>
        <x:v/>
      </x:c>
      <x:c r="AP134" s="356" t="str">
        <x:f t="shared" si="137"/>
        <x:v/>
      </x:c>
      <x:c r="AQ134" s="374" t="str">
        <x:f>IF(AND($AN134="",$AP134=""),"",IF(AND($AN134&lt;&gt;"",$AP134&lt;&gt;""),IF(AN134="세입없음","OK",IF(VLOOKUP($AN134,'3. 일입'!$AK$7:$AL$2000,2,FALSE)=$AP134,"OK","@@")),"@@"))</x:f>
        <x:v/>
      </x:c>
      <x:c r="AR134" s="93"/>
      <x:c r="AS134" s="533"/>
      <x:c r="AT134" s="374" t="str">
        <x:f>IF($AS134="","",IF($AS134="세입없음","OK",IF(COUNTIF('3. 일입'!$AN$8:$AN$2000,$AS134),"OK","@@")))</x:f>
        <x:v/>
      </x:c>
      <x:c r="AU134" s="356" t="str">
        <x:f t="shared" si="138"/>
        <x:v/>
      </x:c>
      <x:c r="AV134" s="374" t="str">
        <x:f t="shared" si="139"/>
        <x:v/>
      </x:c>
      <x:c r="AW134" s="93"/>
      <x:c r="AX134" s="348"/>
      <x:c r="AY134" s="29"/>
    </x:row>
    <x:row r="135" spans="1:51" s="345" customFormat="1" ht="60" customHeight="1">
      <x:c r="A135" s="337"/>
      <x:c r="B135" s="979" t="s">
        <x:v>1531</x:v>
      </x:c>
      <x:c r="C135" s="979"/>
      <x:c r="D135" s="979"/>
      <x:c r="E135" s="979"/>
      <x:c r="F135" s="979"/>
      <x:c r="G135" s="979"/>
      <x:c r="H135" s="338"/>
      <x:c r="I135" s="359"/>
      <x:c r="J135" s="359"/>
      <x:c r="K135" s="339"/>
      <x:c r="L135" s="340" t="str">
        <x:f>SUBTOTAL(3,$L136:$L150)&amp;"건"</x:f>
        <x:v>3건</x:v>
      </x:c>
      <x:c r="M135" s="476">
        <x:f t="shared" ref="M135:N135" si="143">SUBTOTAL(9,M136:M150)</x:f>
        <x:v>9612655</x:v>
      </x:c>
      <x:c r="N135" s="476">
        <x:f t="shared" si="143"/>
        <x:v>32853960</x:v>
      </x:c>
      <x:c r="O135" s="482">
        <x:f t="shared" ref="O135:S135" si="144">SUBTOTAL(9,O136:O150)</x:f>
        <x:v>42466615</x:v>
      </x:c>
      <x:c r="P135" s="482">
        <x:f t="shared" si="144"/>
        <x:v>4271494</x:v>
      </x:c>
      <x:c r="Q135" s="482">
        <x:f t="shared" si="144"/>
        <x:v>46738109</x:v>
      </x:c>
      <x:c r="R135" s="482">
        <x:f t="shared" si="144"/>
        <x:v>0</x:v>
      </x:c>
      <x:c r="S135" s="482">
        <x:f t="shared" si="144"/>
        <x:v>42466615</x:v>
      </x:c>
      <x:c r="T135" s="337"/>
      <x:c r="U135" s="551"/>
      <x:c r="V135" s="346"/>
      <x:c r="W135" s="342"/>
      <x:c r="X135" s="343"/>
      <x:c r="Y135" s="343"/>
      <x:c r="Z135" s="343"/>
      <x:c r="AA135" s="344"/>
      <x:c r="AB135" s="483">
        <x:f>SUBTOTAL(9,AB136:AB150)</x:f>
        <x:v>47350</x:v>
      </x:c>
      <x:c r="AC135" s="483">
        <x:f>SUBTOTAL(9,AC136:AC150)</x:f>
        <x:v>4224144</x:v>
      </x:c>
      <x:c r="AD135" s="483">
        <x:f>SUBTOTAL(9,AD136:AD150)</x:f>
        <x:v>0</x:v>
      </x:c>
      <x:c r="AE135" s="483">
        <x:f>SUBTOTAL(9,AE136:AE150)</x:f>
        <x:v>0</x:v>
      </x:c>
      <x:c r="AF135" s="554" t="str">
        <x:f>IF(COUNTIF(AF136:AF150,"@@")&gt;0,"@@","OK")</x:f>
        <x:v>OK</x:v>
      </x:c>
      <x:c r="AG135" s="344"/>
      <x:c r="AH135" s="483">
        <x:f>SUBTOTAL(9,AH136:AH150)</x:f>
        <x:v>0</x:v>
      </x:c>
      <x:c r="AI135" s="483">
        <x:f>SUBTOTAL(9,AI136:AI150)</x:f>
        <x:v>0</x:v>
      </x:c>
      <x:c r="AJ135" s="483">
        <x:f>SUBTOTAL(9,AJ136:AJ150)</x:f>
        <x:v>0</x:v>
      </x:c>
      <x:c r="AK135" s="483">
        <x:f>SUBTOTAL(9,AK136:AK150)</x:f>
        <x:v>0</x:v>
      </x:c>
      <x:c r="AL135" s="554" t="str">
        <x:f>IF(COUNTIF(AL136:AL150,"@@")&gt;0,"@@","OK")</x:f>
        <x:v>OK</x:v>
      </x:c>
      <x:c r="AM135" s="344"/>
      <x:c r="AN135" s="343"/>
      <x:c r="AO135" s="554" t="str">
        <x:f>IF(COUNTIF(AO136:AO150,"@@")&gt;0,"@@","OK")</x:f>
        <x:v>OK</x:v>
      </x:c>
      <x:c r="AP135" s="343"/>
      <x:c r="AQ135" s="554" t="str">
        <x:f>IF(COUNTIF(AQ136:AQ150,"@@")&gt;0,"@@","OK")</x:f>
        <x:v>OK</x:v>
      </x:c>
      <x:c r="AR135" s="344"/>
      <x:c r="AS135" s="343"/>
      <x:c r="AT135" s="554" t="str">
        <x:f>IF(COUNTIF(AT136:AT150,"@@")&gt;0,"@@","OK")</x:f>
        <x:v>OK</x:v>
      </x:c>
      <x:c r="AU135" s="343"/>
      <x:c r="AV135" s="554" t="str">
        <x:f>IF(COUNTIF(AV136:AV150,"@@")&gt;0,"@@","OK")</x:f>
        <x:v>OK</x:v>
      </x:c>
      <x:c r="AW135" s="344"/>
      <x:c r="AX135" s="343"/>
      <x:c r="AY135" s="344"/>
    </x:row>
    <x:row r="136" spans="1:51" ht="80.099999999999994" customHeight="1">
      <x:c r="A136" s="155">
        <x:f>IF(D136="","",COUNTA($C$7:C136)-COUNTBLANK($C$7:C136)+9)</x:f>
        <x:v>1</x:v>
      </x:c>
      <x:c r="B136" s="156" t="str">
        <x: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x:f>
        <x:v>도시환경위원회</x:v>
      </x:c>
      <x:c r="C136" s="156" t="str">
        <x:f>IF(D136="","",IF(OR(D136="교육지원과",D136="총무과",D136="인사과"),"직접입력",VLOOKUP(D136,구분표!$A$3:$C$258,3,)))</x:f>
        <x:v>도시주택실</x:v>
      </x:c>
      <x:c r="D136" s="219" t="s">
        <x:v>2010</x:v>
      </x:c>
      <x:c r="E136" s="213" t="s">
        <x:v>414</x:v>
      </x:c>
      <x:c r="F136" s="388">
        <x:v>0</x:v>
      </x:c>
      <x:c r="G136" s="388">
        <x:v>0</x:v>
      </x:c>
      <x:c r="H136" s="213" t="s">
        <x:v>656</x:v>
      </x:c>
      <x:c r="I136" s="156" t="str">
        <x:f>IF(H136="","",VLOOKUP($H136,구분표!$K$3:$M$151,2,FALSE))</x:f>
        <x:v>자치단체등 자본이전</x:v>
      </x:c>
      <x:c r="J136" s="156" t="str">
        <x:f>IF(I136="","",VLOOKUP($H136,구분표!$K$3:$M$151,3,FALSE))</x:f>
        <x:v>자치단체자본보조</x:v>
      </x:c>
      <x:c r="K136" s="233" t="s">
        <x:v>1923</x:v>
      </x:c>
      <x:c r="L136" s="233" t="s">
        <x:v>1701</x:v>
      </x:c>
      <x:c r="M136" s="459">
        <x:v>9211100</x:v>
      </x:c>
      <x:c r="N136" s="459">
        <x:v>0</x:v>
      </x:c>
      <x:c r="O136" s="461">
        <x:f t="shared" ref="O136:O150" si="145">IF($E136="","",SUM(M136:N136))</x:f>
        <x:v>9211100</x:v>
      </x:c>
      <x:c r="P136" s="460">
        <x:v>33850</x:v>
      </x:c>
      <x:c r="Q136" s="461">
        <x:f t="shared" ref="Q136:Q150" si="146">SUM(O136:P136)</x:f>
        <x:v>9244950</x:v>
      </x:c>
      <x:c r="R136" s="462"/>
      <x:c r="S136" s="463">
        <x:f t="shared" ref="S136:S150" si="147">SUM(O136,R136)</x:f>
        <x:v>9211100</x:v>
      </x:c>
      <x:c r="T136" s="162" t="str">
        <x:f t="shared" ref="T136:T150" si="148">IF(AND((Q136=0),(S136&gt;0)),"O",IF(AND((P136&lt;0),(Q136-S136&lt;0)),"O","X"))</x:f>
        <x:v>X</x:v>
      </x:c>
      <x:c r="U136" s="552"/>
      <x:c r="V136" s="331"/>
      <x:c r="W136" s="221"/>
      <x:c r="X136" s="223"/>
      <x:c r="Y136" s="334"/>
      <x:c r="Z136" s="334"/>
      <x:c r="AA136" s="29"/>
      <x:c r="AB136" s="486">
        <x:v>33850</x:v>
      </x:c>
      <x:c r="AC136" s="487">
        <x:f t="shared" ref="AC136:AC150" si="149">IF($P136="",0,IF(AND(ISNUMBER($AB136),ISNUMBER(AD136),ISNUMBER(AE136)),$P136-$AB136-$AD136-$AE136,0))</x:f>
        <x:v>0</x:v>
      </x:c>
      <x:c r="AD136" s="487">
        <x:f t="shared" ref="AD136:AD150" si="150">IF($P136="",0,IF(COUNT(FIND("(지방채)",$L136))&gt;0,"재원입력필요",0))</x:f>
        <x:v>0</x:v>
      </x:c>
      <x:c r="AE136" s="487">
        <x:f t="shared" ref="AE136:AE150" si="151">IF($P136="",0,IF(COUNT(FIND("(지역개발기금)",$L136))&gt;0,"재원입력필요",0))</x:f>
        <x:v>0</x:v>
      </x:c>
      <x:c r="AF136" s="374" t="str">
        <x:f t="shared" ref="AF136:AF150" si="152">IF($P136="",IF(SUM($AB136:$AE136)=0,"","@@"),IF(AND($P136=SUM($AB136:$AE136),$Q136&gt;=0),"OK","@@"))</x:f>
        <x:v>OK</x:v>
      </x:c>
      <x:c r="AG136" s="93"/>
      <x:c r="AH136" s="488">
        <x:f t="shared" ref="AH136:AH150" si="153">IF($R136="",0,IF($R136&lt;&gt;0,"재원입력필요",0))</x:f>
        <x:v>0</x:v>
      </x:c>
      <x:c r="AI136" s="487">
        <x:f t="shared" ref="AI136:AI150" si="154">IF($R136="",0,IF(AND(ISNUMBER($AH136),ISNUMBER($AJ136),ISNUMBER($AK136)),$R136-$AH136-$AJ136-$AK136,0))</x:f>
        <x:v>0</x:v>
      </x:c>
      <x:c r="AJ136" s="487">
        <x:f t="shared" ref="AJ136:AJ150" si="155">IF($R136="",0,IF(COUNT(FIND("(지방채)",$L136))&gt;0,"재원입력필요",0))</x:f>
        <x:v>0</x:v>
      </x:c>
      <x:c r="AK136" s="487">
        <x:f t="shared" ref="AK136:AK150" si="156">IF($R136="",0,IF(COUNT(FIND("(지역개발기금)",$L136))&gt;0,"재원입력필요",0))</x:f>
        <x:v>0</x:v>
      </x:c>
      <x:c r="AL136" s="374" t="str">
        <x:f t="shared" ref="AL136:AL150" si="157">IF($R136="",IF(SUM($AH136:$AK136)=0,"","@@"),IF(AND($R136=SUM($AH136:$AK136),$S136&gt;=0),"OK","@@"))</x:f>
        <x:v/>
      </x:c>
      <x:c r="AM136" s="92"/>
      <x:c r="AN136" s="221" t="s">
        <x:v>1312</x:v>
      </x:c>
      <x:c r="AO136" s="374" t="str">
        <x:f>IF($AP136="","",IF($AN136="세입없음","OK",IF(OR($AP136="재원확인",$AN136=""),"@@",IF(COUNTIF('3. 일입'!$AK$8:$AK$2000,$AN136),"OK","@@"))))</x:f>
        <x:v>OK</x:v>
      </x:c>
      <x:c r="AP136" s="356" t="str">
        <x:f t="shared" ref="AP136:AP150" si="158">IF($K136="","",IF(COUNT(FIND("국비/",$K136)),"국비",IF(COUNT(FIND("균특/",$K136)),"균특",IF(COUNT(FIND("기금/",$K136)),"기금",IF(COUNT(FIND("교부세/",$K136)),"특교",IF(COUNT(FIND("소방안전/",$K136)),"소교",IF(COUNT(FIND("소멸대응/",$K136)),"소멸","재원확인")))))))</x:f>
        <x:v>균특</x:v>
      </x:c>
      <x:c r="AQ136" s="374" t="str">
        <x:f>IF(AND($AN136="",$AP136=""),"",IF(AND($AN136&lt;&gt;"",$AP136&lt;&gt;""),IF(AN136="세입없음","OK",IF(VLOOKUP($AN136,'3. 일입'!$AK$7:$AL$2000,2,FALSE)=$AP136,"OK","@@")),"@@"))</x:f>
        <x:v>OK</x:v>
      </x:c>
      <x:c r="AR136" s="93"/>
      <x:c r="AS136" s="533"/>
      <x:c r="AT136" s="374" t="str">
        <x:f>IF($AS136="","",IF($AS136="세입없음","OK",IF(COUNTIF('3. 일입'!$AN$8:$AN$2000,$AS136),"OK","@@")))</x:f>
        <x:v/>
      </x:c>
      <x:c r="AU136" s="356" t="str">
        <x:f t="shared" ref="AU136:AU150" si="159">IF($L136="","",IF(COUNT(FIND("(지역개발기금)",$L136)),"지역개발기금",IF(COUNT(FIND("지방채",$L136)),"지방채","자체")))</x:f>
        <x:v>자체</x:v>
      </x:c>
      <x:c r="AV136" s="374" t="str">
        <x:f t="shared" ref="AV136:AV150" si="160">IF($AS136="",IF($AU136="","",IF($AU136="자체","OK","@@")),IF($AS136="세입없음","OK",IF($AU136="","@@",IF(ISNUMBER(FIND($AU136,$AS136)),"OK","@@"))))</x:f>
        <x:v>OK</x:v>
      </x:c>
      <x:c r="AW136" s="93"/>
      <x:c r="AX136" s="348"/>
      <x:c r="AY136" s="28"/>
    </x:row>
    <x:row r="137" spans="1:51" s="20" customFormat="1" ht="80.099999999999994" customHeight="1">
      <x:c r="A137" s="155">
        <x:f>IF(D137="","",COUNTA($C$7:C137)-COUNTBLANK($C$7:C137)+9)</x:f>
        <x:v>2</x:v>
      </x:c>
      <x:c r="B137" s="156" t="str">
        <x: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x:f>
        <x:v>도시환경위원회</x:v>
      </x:c>
      <x:c r="C137" s="156" t="str">
        <x:f>IF(D137="","",IF(OR(D137="교육지원과",D137="총무과",D137="인사과"),"직접입력",VLOOKUP(D137,구분표!$A$3:$C$258,3,)))</x:f>
        <x:v>도시주택실</x:v>
      </x:c>
      <x:c r="D137" s="219" t="s">
        <x:v>1035</x:v>
      </x:c>
      <x:c r="E137" s="213" t="s">
        <x:v>414</x:v>
      </x:c>
      <x:c r="F137" s="388">
        <x:v>934</x:v>
      </x:c>
      <x:c r="G137" s="388">
        <x:v>127</x:v>
      </x:c>
      <x:c r="H137" s="213" t="s">
        <x:v>656</x:v>
      </x:c>
      <x:c r="I137" s="156" t="str">
        <x:f>IF(H137="","",VLOOKUP($H137,구분표!$K$3:$M$151,2,FALSE))</x:f>
        <x:v>자치단체등 자본이전</x:v>
      </x:c>
      <x:c r="J137" s="156" t="str">
        <x:f>IF(I137="","",VLOOKUP($H137,구분표!$K$3:$M$151,3,FALSE))</x:f>
        <x:v>자치단체자본보조</x:v>
      </x:c>
      <x:c r="K137" s="233" t="s">
        <x:v>1467</x:v>
      </x:c>
      <x:c r="L137" s="233" t="s">
        <x:v>1435</x:v>
      </x:c>
      <x:c r="M137" s="459">
        <x:v>0</x:v>
      </x:c>
      <x:c r="N137" s="459">
        <x:v>32853960</x:v>
      </x:c>
      <x:c r="O137" s="461">
        <x:f t="shared" si="145"/>
        <x:v>32853960</x:v>
      </x:c>
      <x:c r="P137" s="460">
        <x:v>4224144</x:v>
      </x:c>
      <x:c r="Q137" s="461">
        <x:f t="shared" si="146"/>
        <x:v>37078104</x:v>
      </x:c>
      <x:c r="R137" s="462"/>
      <x:c r="S137" s="463">
        <x:f t="shared" si="147"/>
        <x:v>32853960</x:v>
      </x:c>
      <x:c r="T137" s="162" t="str">
        <x:f t="shared" si="148"/>
        <x:v>X</x:v>
      </x:c>
      <x:c r="U137" s="552"/>
      <x:c r="V137" s="331"/>
      <x:c r="W137" s="221"/>
      <x:c r="X137" s="223"/>
      <x:c r="Y137" s="334"/>
      <x:c r="Z137" s="334"/>
      <x:c r="AA137" s="29"/>
      <x:c r="AB137" s="486">
        <x:v>0</x:v>
      </x:c>
      <x:c r="AC137" s="487">
        <x:f t="shared" si="149"/>
        <x:v>4224144</x:v>
      </x:c>
      <x:c r="AD137" s="487">
        <x:f t="shared" si="150"/>
        <x:v>0</x:v>
      </x:c>
      <x:c r="AE137" s="487">
        <x:f t="shared" si="151"/>
        <x:v>0</x:v>
      </x:c>
      <x:c r="AF137" s="374" t="str">
        <x:f t="shared" si="152"/>
        <x:v>OK</x:v>
      </x:c>
      <x:c r="AG137" s="93"/>
      <x:c r="AH137" s="488">
        <x:f t="shared" si="153"/>
        <x:v>0</x:v>
      </x:c>
      <x:c r="AI137" s="487">
        <x:f t="shared" si="154"/>
        <x:v>0</x:v>
      </x:c>
      <x:c r="AJ137" s="487">
        <x:f t="shared" si="155"/>
        <x:v>0</x:v>
      </x:c>
      <x:c r="AK137" s="487">
        <x:f t="shared" si="156"/>
        <x:v>0</x:v>
      </x:c>
      <x:c r="AL137" s="374" t="str">
        <x:f t="shared" si="157"/>
        <x:v/>
      </x:c>
      <x:c r="AM137" s="92"/>
      <x:c r="AN137" s="221" t="s">
        <x:v>1318</x:v>
      </x:c>
      <x:c r="AO137" s="374" t="str">
        <x:f>IF($AP137="","",IF($AN137="세입없음","OK",IF(OR($AP137="재원확인",$AN137=""),"@@",IF(COUNTIF('3. 일입'!$AK$8:$AK$2000,$AN137),"OK","@@"))))</x:f>
        <x:v>OK</x:v>
      </x:c>
      <x:c r="AP137" s="356" t="str">
        <x:f t="shared" si="158"/>
        <x:v>기금</x:v>
      </x:c>
      <x:c r="AQ137" s="374" t="str">
        <x:f>IF(AND($AN137="",$AP137=""),"",IF(AND($AN137&lt;&gt;"",$AP137&lt;&gt;""),IF(AN137="세입없음","OK",IF(VLOOKUP($AN137,'3. 일입'!$AK$7:$AL$2000,2,FALSE)=$AP137,"OK","@@")),"@@"))</x:f>
        <x:v>OK</x:v>
      </x:c>
      <x:c r="AR137" s="93"/>
      <x:c r="AS137" s="533"/>
      <x:c r="AT137" s="374" t="str">
        <x:f>IF($AS137="","",IF($AS137="세입없음","OK",IF(COUNTIF('3. 일입'!$AN$8:$AN$2000,$AS137),"OK","@@")))</x:f>
        <x:v/>
      </x:c>
      <x:c r="AU137" s="356" t="str">
        <x:f t="shared" si="159"/>
        <x:v>자체</x:v>
      </x:c>
      <x:c r="AV137" s="374" t="str">
        <x:f t="shared" si="160"/>
        <x:v>OK</x:v>
      </x:c>
      <x:c r="AW137" s="93"/>
      <x:c r="AX137" s="348"/>
      <x:c r="AY137" s="29"/>
    </x:row>
    <x:row r="138" spans="1:51" s="20" customFormat="1" ht="80.099999999999994" customHeight="1">
      <x:c r="A138" s="155">
        <x:f>IF(D138="","",COUNTA($C$7:C138)-COUNTBLANK($C$7:C138)+9)</x:f>
        <x:v>3</x:v>
      </x:c>
      <x:c r="B138" s="156" t="str">
        <x: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x:f>
        <x:v>도시환경위원회</x:v>
      </x:c>
      <x:c r="C138" s="156" t="str">
        <x:f>IF(D138="","",IF(OR(D138="교육지원과",D138="총무과",D138="인사과"),"직접입력",VLOOKUP(D138,구분표!$A$3:$C$258,3,)))</x:f>
        <x:v>수자원본부</x:v>
      </x:c>
      <x:c r="D138" s="219" t="s">
        <x:v>476</x:v>
      </x:c>
      <x:c r="E138" s="213" t="s">
        <x:v>414</x:v>
      </x:c>
      <x:c r="F138" s="388">
        <x:v>0</x:v>
      </x:c>
      <x:c r="G138" s="388">
        <x:v>0</x:v>
      </x:c>
      <x:c r="H138" s="213" t="s">
        <x:v>656</x:v>
      </x:c>
      <x:c r="I138" s="156" t="str">
        <x:f>IF(H138="","",VLOOKUP($H138,구분표!$K$3:$M$151,2,FALSE))</x:f>
        <x:v>자치단체등 자본이전</x:v>
      </x:c>
      <x:c r="J138" s="156" t="str">
        <x:f>IF(I138="","",VLOOKUP($H138,구분표!$K$3:$M$151,3,FALSE))</x:f>
        <x:v>자치단체자본보조</x:v>
      </x:c>
      <x:c r="K138" s="233" t="s">
        <x:v>1468</x:v>
      </x:c>
      <x:c r="L138" s="233" t="s">
        <x:v>1694</x:v>
      </x:c>
      <x:c r="M138" s="459">
        <x:v>401555</x:v>
      </x:c>
      <x:c r="N138" s="459">
        <x:v>0</x:v>
      </x:c>
      <x:c r="O138" s="461">
        <x:f t="shared" si="145"/>
        <x:v>401555</x:v>
      </x:c>
      <x:c r="P138" s="460">
        <x:v>13500</x:v>
      </x:c>
      <x:c r="Q138" s="461">
        <x:f t="shared" si="146"/>
        <x:v>415055</x:v>
      </x:c>
      <x:c r="R138" s="462"/>
      <x:c r="S138" s="463">
        <x:f t="shared" si="147"/>
        <x:v>401555</x:v>
      </x:c>
      <x:c r="T138" s="162" t="str">
        <x:f t="shared" si="148"/>
        <x:v>X</x:v>
      </x:c>
      <x:c r="U138" s="552"/>
      <x:c r="V138" s="331"/>
      <x:c r="W138" s="221"/>
      <x:c r="X138" s="223"/>
      <x:c r="Y138" s="334"/>
      <x:c r="Z138" s="334"/>
      <x:c r="AA138" s="29"/>
      <x:c r="AB138" s="486">
        <x:v>13500</x:v>
      </x:c>
      <x:c r="AC138" s="487">
        <x:f t="shared" si="149"/>
        <x:v>0</x:v>
      </x:c>
      <x:c r="AD138" s="487">
        <x:f t="shared" si="150"/>
        <x:v>0</x:v>
      </x:c>
      <x:c r="AE138" s="487">
        <x:f t="shared" si="151"/>
        <x:v>0</x:v>
      </x:c>
      <x:c r="AF138" s="374" t="str">
        <x:f t="shared" si="152"/>
        <x:v>OK</x:v>
      </x:c>
      <x:c r="AG138" s="93"/>
      <x:c r="AH138" s="488">
        <x:f t="shared" si="153"/>
        <x:v>0</x:v>
      </x:c>
      <x:c r="AI138" s="487">
        <x:f t="shared" si="154"/>
        <x:v>0</x:v>
      </x:c>
      <x:c r="AJ138" s="487">
        <x:f t="shared" si="155"/>
        <x:v>0</x:v>
      </x:c>
      <x:c r="AK138" s="487">
        <x:f t="shared" si="156"/>
        <x:v>0</x:v>
      </x:c>
      <x:c r="AL138" s="374" t="str">
        <x:f t="shared" si="157"/>
        <x:v/>
      </x:c>
      <x:c r="AM138" s="92"/>
      <x:c r="AN138" s="221" t="s">
        <x:v>1304</x:v>
      </x:c>
      <x:c r="AO138" s="374" t="str">
        <x:f>IF($AP138="","",IF($AN138="세입없음","OK",IF(OR($AP138="재원확인",$AN138=""),"@@",IF(COUNTIF('3. 일입'!$AK$8:$AK$2000,$AN138),"OK","@@"))))</x:f>
        <x:v>OK</x:v>
      </x:c>
      <x:c r="AP138" s="356" t="str">
        <x:f t="shared" si="158"/>
        <x:v>균특</x:v>
      </x:c>
      <x:c r="AQ138" s="374" t="str">
        <x:f>IF(AND($AN138="",$AP138=""),"",IF(AND($AN138&lt;&gt;"",$AP138&lt;&gt;""),IF(AN138="세입없음","OK",IF(VLOOKUP($AN138,'3. 일입'!$AK$7:$AL$2000,2,FALSE)=$AP138,"OK","@@")),"@@"))</x:f>
        <x:v>OK</x:v>
      </x:c>
      <x:c r="AR138" s="93"/>
      <x:c r="AS138" s="533"/>
      <x:c r="AT138" s="374" t="str">
        <x:f>IF($AS138="","",IF($AS138="세입없음","OK",IF(COUNTIF('3. 일입'!$AN$8:$AN$2000,$AS138),"OK","@@")))</x:f>
        <x:v/>
      </x:c>
      <x:c r="AU138" s="356" t="str">
        <x:f t="shared" si="159"/>
        <x:v>자체</x:v>
      </x:c>
      <x:c r="AV138" s="374" t="str">
        <x:f t="shared" si="160"/>
        <x:v>OK</x:v>
      </x:c>
      <x:c r="AW138" s="93"/>
      <x:c r="AX138" s="348"/>
      <x:c r="AY138" s="29"/>
    </x:row>
    <x:row r="139" spans="1:51" s="20" customFormat="1" ht="80.099999999999994" customHeight="1">
      <x:c r="A139" s="155" t="str">
        <x:f>IF(D139="","",COUNTA($C$7:C139)-COUNTBLANK($C$7:C139)+9)</x:f>
        <x:v/>
      </x:c>
      <x:c r="B139" s="156" t="str">
        <x: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x:f>
        <x:v/>
      </x:c>
      <x:c r="C139" s="156" t="str">
        <x:f>IF(D139="","",IF(OR(D139="교육지원과",D139="총무과",D139="인사과"),"직접입력",VLOOKUP(D139,구분표!$A$3:$C$258,3,)))</x:f>
        <x:v/>
      </x:c>
      <x:c r="D139" s="219"/>
      <x:c r="E139" s="213"/>
      <x:c r="F139" s="388" t="str">
        <x:f t="shared" ref="F139:G150" si="161">IF($E139="","",IF($E139="2추","직접입력","-"))</x:f>
        <x:v/>
      </x:c>
      <x:c r="G139" s="388" t="str">
        <x:f t="shared" si="161"/>
        <x:v/>
      </x:c>
      <x:c r="H139" s="213"/>
      <x:c r="I139" s="156" t="str">
        <x:f>IF(H139="","",VLOOKUP($H139,구분표!$K$3:$M$151,2,FALSE))</x:f>
        <x:v/>
      </x:c>
      <x:c r="J139" s="156" t="str">
        <x:f>IF(I139="","",VLOOKUP($H139,구분표!$K$3:$M$151,3,FALSE))</x:f>
        <x:v/>
      </x:c>
      <x:c r="K139" s="233"/>
      <x:c r="L139" s="233"/>
      <x:c r="M139" s="459" t="str">
        <x:f t="shared" ref="M139:M150" si="162">IF($E139="","",IF(OR($E139="2추",$E139="1추",$E139="본예산"),"금액입력","-"))</x:f>
        <x:v/>
      </x:c>
      <x:c r="N139" s="459" t="str">
        <x:f t="shared" ref="N139:N150" si="163">IF($E139="","",IF($E139="2추","금액입력","-"))</x:f>
        <x:v/>
      </x:c>
      <x:c r="O139" s="461" t="str">
        <x:f t="shared" si="145"/>
        <x:v/>
      </x:c>
      <x:c r="P139" s="460"/>
      <x:c r="Q139" s="461">
        <x:f t="shared" si="146"/>
        <x:v>0</x:v>
      </x:c>
      <x:c r="R139" s="462"/>
      <x:c r="S139" s="463">
        <x:f t="shared" si="147"/>
        <x:v>0</x:v>
      </x:c>
      <x:c r="T139" s="162" t="str">
        <x:f t="shared" si="148"/>
        <x:v>X</x:v>
      </x:c>
      <x:c r="U139" s="552"/>
      <x:c r="V139" s="331"/>
      <x:c r="W139" s="221"/>
      <x:c r="X139" s="223"/>
      <x:c r="Y139" s="334"/>
      <x:c r="Z139" s="334"/>
      <x:c r="AA139" s="29"/>
      <x:c r="AB139" s="486">
        <x:f t="shared" ref="AB139:AB150" si="164">IF($P139="",0,IF($P139&lt;&gt;0,"재원입력필요",0))</x:f>
        <x:v>0</x:v>
      </x:c>
      <x:c r="AC139" s="487">
        <x:f t="shared" si="149"/>
        <x:v>0</x:v>
      </x:c>
      <x:c r="AD139" s="487">
        <x:f t="shared" si="150"/>
        <x:v>0</x:v>
      </x:c>
      <x:c r="AE139" s="487">
        <x:f t="shared" si="151"/>
        <x:v>0</x:v>
      </x:c>
      <x:c r="AF139" s="374" t="str">
        <x:f t="shared" si="152"/>
        <x:v/>
      </x:c>
      <x:c r="AG139" s="93"/>
      <x:c r="AH139" s="488">
        <x:f t="shared" si="153"/>
        <x:v>0</x:v>
      </x:c>
      <x:c r="AI139" s="487">
        <x:f t="shared" si="154"/>
        <x:v>0</x:v>
      </x:c>
      <x:c r="AJ139" s="487">
        <x:f t="shared" si="155"/>
        <x:v>0</x:v>
      </x:c>
      <x:c r="AK139" s="487">
        <x:f t="shared" si="156"/>
        <x:v>0</x:v>
      </x:c>
      <x:c r="AL139" s="374" t="str">
        <x:f t="shared" si="157"/>
        <x:v/>
      </x:c>
      <x:c r="AM139" s="92"/>
      <x:c r="AN139" s="221"/>
      <x:c r="AO139" s="374" t="str">
        <x:f>IF($AP139="","",IF($AN139="세입없음","OK",IF(OR($AP139="재원확인",$AN139=""),"@@",IF(COUNTIF('3. 일입'!$AK$8:$AK$2000,$AN139),"OK","@@"))))</x:f>
        <x:v/>
      </x:c>
      <x:c r="AP139" s="356" t="str">
        <x:f t="shared" si="158"/>
        <x:v/>
      </x:c>
      <x:c r="AQ139" s="374" t="str">
        <x:f>IF(AND($AN139="",$AP139=""),"",IF(AND($AN139&lt;&gt;"",$AP139&lt;&gt;""),IF(AN139="세입없음","OK",IF(VLOOKUP($AN139,'3. 일입'!$AK$7:$AL$2000,2,FALSE)=$AP139,"OK","@@")),"@@"))</x:f>
        <x:v/>
      </x:c>
      <x:c r="AR139" s="93"/>
      <x:c r="AS139" s="533"/>
      <x:c r="AT139" s="374" t="str">
        <x:f>IF($AS139="","",IF($AS139="세입없음","OK",IF(COUNTIF('3. 일입'!$AN$8:$AN$2000,$AS139),"OK","@@")))</x:f>
        <x:v/>
      </x:c>
      <x:c r="AU139" s="356" t="str">
        <x:f t="shared" si="159"/>
        <x:v/>
      </x:c>
      <x:c r="AV139" s="374" t="str">
        <x:f t="shared" si="160"/>
        <x:v/>
      </x:c>
      <x:c r="AW139" s="93"/>
      <x:c r="AX139" s="348"/>
      <x:c r="AY139" s="29"/>
    </x:row>
    <x:row r="140" spans="1:51" s="20" customFormat="1" ht="80.099999999999994" customHeight="1">
      <x:c r="A140" s="155" t="str">
        <x:f>IF(D140="","",COUNTA($C$7:C140)-COUNTBLANK($C$7:C140)+9)</x:f>
        <x:v/>
      </x:c>
      <x:c r="B140" s="156" t="str">
        <x:f>IF(D140="","",IF(OR(C140="직접입력",D140="북부지원"),"직접입력",IF(OR(AND(D140="인사과",C140="의회사무처"),AND(D140="총무과",C140="의회사무처")),"의회운영위원회",IF(OR(C140="직접입력",D140="북부지원"),"직접입력",IF(OR(AND(D140="인사과",C140="자치행정국"),AND(D140="총무과",C140="자치행정국")),"안전행정위원회",VLOOKUP(D140,구분표!$A$3:$C$258,2,))))))</x:f>
        <x:v/>
      </x:c>
      <x:c r="C140" s="156" t="str">
        <x:f>IF(D140="","",IF(OR(D140="교육지원과",D140="총무과",D140="인사과"),"직접입력",VLOOKUP(D140,구분표!$A$3:$C$258,3,)))</x:f>
        <x:v/>
      </x:c>
      <x:c r="D140" s="219"/>
      <x:c r="E140" s="213"/>
      <x:c r="F140" s="388" t="str">
        <x:f t="shared" si="161"/>
        <x:v/>
      </x:c>
      <x:c r="G140" s="388" t="str">
        <x:f t="shared" si="161"/>
        <x:v/>
      </x:c>
      <x:c r="H140" s="213"/>
      <x:c r="I140" s="156" t="str">
        <x:f>IF(H140="","",VLOOKUP($H140,구분표!$K$3:$M$151,2,FALSE))</x:f>
        <x:v/>
      </x:c>
      <x:c r="J140" s="156" t="str">
        <x:f>IF(I140="","",VLOOKUP($H140,구분표!$K$3:$M$151,3,FALSE))</x:f>
        <x:v/>
      </x:c>
      <x:c r="K140" s="233"/>
      <x:c r="L140" s="233"/>
      <x:c r="M140" s="459" t="str">
        <x:f t="shared" si="162"/>
        <x:v/>
      </x:c>
      <x:c r="N140" s="459" t="str">
        <x:f t="shared" si="163"/>
        <x:v/>
      </x:c>
      <x:c r="O140" s="461" t="str">
        <x:f t="shared" si="145"/>
        <x:v/>
      </x:c>
      <x:c r="P140" s="460"/>
      <x:c r="Q140" s="461">
        <x:f t="shared" si="146"/>
        <x:v>0</x:v>
      </x:c>
      <x:c r="R140" s="462"/>
      <x:c r="S140" s="463">
        <x:f t="shared" si="147"/>
        <x:v>0</x:v>
      </x:c>
      <x:c r="T140" s="162" t="str">
        <x:f t="shared" si="148"/>
        <x:v>X</x:v>
      </x:c>
      <x:c r="U140" s="552"/>
      <x:c r="V140" s="331"/>
      <x:c r="W140" s="221"/>
      <x:c r="X140" s="223"/>
      <x:c r="Y140" s="334"/>
      <x:c r="Z140" s="334"/>
      <x:c r="AA140" s="29"/>
      <x:c r="AB140" s="486">
        <x:f t="shared" si="164"/>
        <x:v>0</x:v>
      </x:c>
      <x:c r="AC140" s="487">
        <x:f t="shared" si="149"/>
        <x:v>0</x:v>
      </x:c>
      <x:c r="AD140" s="487">
        <x:f t="shared" si="150"/>
        <x:v>0</x:v>
      </x:c>
      <x:c r="AE140" s="487">
        <x:f t="shared" si="151"/>
        <x:v>0</x:v>
      </x:c>
      <x:c r="AF140" s="374" t="str">
        <x:f t="shared" si="152"/>
        <x:v/>
      </x:c>
      <x:c r="AG140" s="93"/>
      <x:c r="AH140" s="488">
        <x:f t="shared" si="153"/>
        <x:v>0</x:v>
      </x:c>
      <x:c r="AI140" s="487">
        <x:f t="shared" si="154"/>
        <x:v>0</x:v>
      </x:c>
      <x:c r="AJ140" s="487">
        <x:f t="shared" si="155"/>
        <x:v>0</x:v>
      </x:c>
      <x:c r="AK140" s="487">
        <x:f t="shared" si="156"/>
        <x:v>0</x:v>
      </x:c>
      <x:c r="AL140" s="374" t="str">
        <x:f t="shared" si="157"/>
        <x:v/>
      </x:c>
      <x:c r="AM140" s="92"/>
      <x:c r="AN140" s="221"/>
      <x:c r="AO140" s="374" t="str">
        <x:f>IF($AP140="","",IF($AN140="세입없음","OK",IF(OR($AP140="재원확인",$AN140=""),"@@",IF(COUNTIF('3. 일입'!$AK$8:$AK$2000,$AN140),"OK","@@"))))</x:f>
        <x:v/>
      </x:c>
      <x:c r="AP140" s="356" t="str">
        <x:f t="shared" si="158"/>
        <x:v/>
      </x:c>
      <x:c r="AQ140" s="374" t="str">
        <x:f>IF(AND($AN140="",$AP140=""),"",IF(AND($AN140&lt;&gt;"",$AP140&lt;&gt;""),IF(AN140="세입없음","OK",IF(VLOOKUP($AN140,'3. 일입'!$AK$7:$AL$2000,2,FALSE)=$AP140,"OK","@@")),"@@"))</x:f>
        <x:v/>
      </x:c>
      <x:c r="AR140" s="93"/>
      <x:c r="AS140" s="533"/>
      <x:c r="AT140" s="374" t="str">
        <x:f>IF($AS140="","",IF($AS140="세입없음","OK",IF(COUNTIF('3. 일입'!$AN$8:$AN$2000,$AS140),"OK","@@")))</x:f>
        <x:v/>
      </x:c>
      <x:c r="AU140" s="356" t="str">
        <x:f t="shared" si="159"/>
        <x:v/>
      </x:c>
      <x:c r="AV140" s="374" t="str">
        <x:f t="shared" si="160"/>
        <x:v/>
      </x:c>
      <x:c r="AW140" s="93"/>
      <x:c r="AX140" s="348"/>
      <x:c r="AY140" s="29"/>
    </x:row>
    <x:row r="141" spans="1:51" s="20" customFormat="1" ht="80.099999999999994" customHeight="1">
      <x:c r="A141" s="155" t="str">
        <x:f>IF(D141="","",COUNTA($C$7:C141)-COUNTBLANK($C$7:C141)+9)</x:f>
        <x:v/>
      </x:c>
      <x:c r="B141" s="156" t="str">
        <x: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x:f>
        <x:v/>
      </x:c>
      <x:c r="C141" s="156" t="str">
        <x:f>IF(D141="","",IF(OR(D141="교육지원과",D141="총무과",D141="인사과"),"직접입력",VLOOKUP(D141,구분표!$A$3:$C$258,3,)))</x:f>
        <x:v/>
      </x:c>
      <x:c r="D141" s="219"/>
      <x:c r="E141" s="213"/>
      <x:c r="F141" s="388" t="str">
        <x:f t="shared" si="161"/>
        <x:v/>
      </x:c>
      <x:c r="G141" s="388" t="str">
        <x:f t="shared" si="161"/>
        <x:v/>
      </x:c>
      <x:c r="H141" s="213"/>
      <x:c r="I141" s="156" t="str">
        <x:f>IF(H141="","",VLOOKUP($H141,구분표!$K$3:$M$151,2,FALSE))</x:f>
        <x:v/>
      </x:c>
      <x:c r="J141" s="156" t="str">
        <x:f>IF(I141="","",VLOOKUP($H141,구분표!$K$3:$M$151,3,FALSE))</x:f>
        <x:v/>
      </x:c>
      <x:c r="K141" s="233"/>
      <x:c r="L141" s="233"/>
      <x:c r="M141" s="459" t="str">
        <x:f t="shared" si="162"/>
        <x:v/>
      </x:c>
      <x:c r="N141" s="459" t="str">
        <x:f t="shared" si="163"/>
        <x:v/>
      </x:c>
      <x:c r="O141" s="461" t="str">
        <x:f t="shared" si="145"/>
        <x:v/>
      </x:c>
      <x:c r="P141" s="460"/>
      <x:c r="Q141" s="461">
        <x:f t="shared" si="146"/>
        <x:v>0</x:v>
      </x:c>
      <x:c r="R141" s="462"/>
      <x:c r="S141" s="463">
        <x:f t="shared" si="147"/>
        <x:v>0</x:v>
      </x:c>
      <x:c r="T141" s="162" t="str">
        <x:f t="shared" si="148"/>
        <x:v>X</x:v>
      </x:c>
      <x:c r="U141" s="552"/>
      <x:c r="V141" s="331"/>
      <x:c r="W141" s="221"/>
      <x:c r="X141" s="223"/>
      <x:c r="Y141" s="334"/>
      <x:c r="Z141" s="334"/>
      <x:c r="AA141" s="29"/>
      <x:c r="AB141" s="486">
        <x:f t="shared" si="164"/>
        <x:v>0</x:v>
      </x:c>
      <x:c r="AC141" s="487">
        <x:f t="shared" si="149"/>
        <x:v>0</x:v>
      </x:c>
      <x:c r="AD141" s="487">
        <x:f t="shared" si="150"/>
        <x:v>0</x:v>
      </x:c>
      <x:c r="AE141" s="487">
        <x:f t="shared" si="151"/>
        <x:v>0</x:v>
      </x:c>
      <x:c r="AF141" s="374" t="str">
        <x:f t="shared" si="152"/>
        <x:v/>
      </x:c>
      <x:c r="AG141" s="93"/>
      <x:c r="AH141" s="488">
        <x:f t="shared" si="153"/>
        <x:v>0</x:v>
      </x:c>
      <x:c r="AI141" s="487">
        <x:f t="shared" si="154"/>
        <x:v>0</x:v>
      </x:c>
      <x:c r="AJ141" s="487">
        <x:f t="shared" si="155"/>
        <x:v>0</x:v>
      </x:c>
      <x:c r="AK141" s="487">
        <x:f t="shared" si="156"/>
        <x:v>0</x:v>
      </x:c>
      <x:c r="AL141" s="374" t="str">
        <x:f t="shared" si="157"/>
        <x:v/>
      </x:c>
      <x:c r="AM141" s="92"/>
      <x:c r="AN141" s="221"/>
      <x:c r="AO141" s="374" t="str">
        <x:f>IF($AP141="","",IF($AN141="세입없음","OK",IF(OR($AP141="재원확인",$AN141=""),"@@",IF(COUNTIF('3. 일입'!$AK$8:$AK$2000,$AN141),"OK","@@"))))</x:f>
        <x:v/>
      </x:c>
      <x:c r="AP141" s="356" t="str">
        <x:f t="shared" si="158"/>
        <x:v/>
      </x:c>
      <x:c r="AQ141" s="374" t="str">
        <x:f>IF(AND($AN141="",$AP141=""),"",IF(AND($AN141&lt;&gt;"",$AP141&lt;&gt;""),IF(AN141="세입없음","OK",IF(VLOOKUP($AN141,'3. 일입'!$AK$7:$AL$2000,2,FALSE)=$AP141,"OK","@@")),"@@"))</x:f>
        <x:v/>
      </x:c>
      <x:c r="AR141" s="93"/>
      <x:c r="AS141" s="533"/>
      <x:c r="AT141" s="374" t="str">
        <x:f>IF($AS141="","",IF($AS141="세입없음","OK",IF(COUNTIF('3. 일입'!$AN$8:$AN$2000,$AS141),"OK","@@")))</x:f>
        <x:v/>
      </x:c>
      <x:c r="AU141" s="356" t="str">
        <x:f t="shared" si="159"/>
        <x:v/>
      </x:c>
      <x:c r="AV141" s="374" t="str">
        <x:f t="shared" si="160"/>
        <x:v/>
      </x:c>
      <x:c r="AW141" s="93"/>
      <x:c r="AX141" s="348"/>
      <x:c r="AY141" s="29"/>
    </x:row>
    <x:row r="142" spans="1:51" s="20" customFormat="1" ht="80.099999999999994" customHeight="1">
      <x:c r="A142" s="155" t="str">
        <x:f>IF(D142="","",COUNTA($C$7:C142)-COUNTBLANK($C$7:C142)+9)</x:f>
        <x:v/>
      </x:c>
      <x:c r="B142" s="156" t="str">
        <x: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x:f>
        <x:v/>
      </x:c>
      <x:c r="C142" s="156" t="str">
        <x:f>IF(D142="","",IF(OR(D142="교육지원과",D142="총무과",D142="인사과"),"직접입력",VLOOKUP(D142,구분표!$A$3:$C$258,3,)))</x:f>
        <x:v/>
      </x:c>
      <x:c r="D142" s="219"/>
      <x:c r="E142" s="213"/>
      <x:c r="F142" s="388" t="str">
        <x:f t="shared" si="161"/>
        <x:v/>
      </x:c>
      <x:c r="G142" s="388" t="str">
        <x:f t="shared" si="161"/>
        <x:v/>
      </x:c>
      <x:c r="H142" s="213"/>
      <x:c r="I142" s="156" t="str">
        <x:f>IF(H142="","",VLOOKUP($H142,구분표!$K$3:$M$151,2,FALSE))</x:f>
        <x:v/>
      </x:c>
      <x:c r="J142" s="156" t="str">
        <x:f>IF(I142="","",VLOOKUP($H142,구분표!$K$3:$M$151,3,FALSE))</x:f>
        <x:v/>
      </x:c>
      <x:c r="K142" s="233"/>
      <x:c r="L142" s="233"/>
      <x:c r="M142" s="459" t="str">
        <x:f t="shared" si="162"/>
        <x:v/>
      </x:c>
      <x:c r="N142" s="459" t="str">
        <x:f t="shared" si="163"/>
        <x:v/>
      </x:c>
      <x:c r="O142" s="461" t="str">
        <x:f t="shared" si="145"/>
        <x:v/>
      </x:c>
      <x:c r="P142" s="460"/>
      <x:c r="Q142" s="461">
        <x:f t="shared" si="146"/>
        <x:v>0</x:v>
      </x:c>
      <x:c r="R142" s="462"/>
      <x:c r="S142" s="463">
        <x:f t="shared" si="147"/>
        <x:v>0</x:v>
      </x:c>
      <x:c r="T142" s="162" t="str">
        <x:f t="shared" si="148"/>
        <x:v>X</x:v>
      </x:c>
      <x:c r="U142" s="552"/>
      <x:c r="V142" s="331"/>
      <x:c r="W142" s="221"/>
      <x:c r="X142" s="223"/>
      <x:c r="Y142" s="334"/>
      <x:c r="Z142" s="334"/>
      <x:c r="AA142" s="29"/>
      <x:c r="AB142" s="486">
        <x:f t="shared" si="164"/>
        <x:v>0</x:v>
      </x:c>
      <x:c r="AC142" s="487">
        <x:f t="shared" si="149"/>
        <x:v>0</x:v>
      </x:c>
      <x:c r="AD142" s="487">
        <x:f t="shared" si="150"/>
        <x:v>0</x:v>
      </x:c>
      <x:c r="AE142" s="487">
        <x:f t="shared" si="151"/>
        <x:v>0</x:v>
      </x:c>
      <x:c r="AF142" s="374" t="str">
        <x:f t="shared" si="152"/>
        <x:v/>
      </x:c>
      <x:c r="AG142" s="93"/>
      <x:c r="AH142" s="488">
        <x:f t="shared" si="153"/>
        <x:v>0</x:v>
      </x:c>
      <x:c r="AI142" s="487">
        <x:f t="shared" si="154"/>
        <x:v>0</x:v>
      </x:c>
      <x:c r="AJ142" s="487">
        <x:f t="shared" si="155"/>
        <x:v>0</x:v>
      </x:c>
      <x:c r="AK142" s="487">
        <x:f t="shared" si="156"/>
        <x:v>0</x:v>
      </x:c>
      <x:c r="AL142" s="374" t="str">
        <x:f t="shared" si="157"/>
        <x:v/>
      </x:c>
      <x:c r="AM142" s="92"/>
      <x:c r="AN142" s="221"/>
      <x:c r="AO142" s="374" t="str">
        <x:f>IF($AP142="","",IF($AN142="세입없음","OK",IF(OR($AP142="재원확인",$AN142=""),"@@",IF(COUNTIF('3. 일입'!$AK$8:$AK$2000,$AN142),"OK","@@"))))</x:f>
        <x:v/>
      </x:c>
      <x:c r="AP142" s="356" t="str">
        <x:f t="shared" si="158"/>
        <x:v/>
      </x:c>
      <x:c r="AQ142" s="374" t="str">
        <x:f>IF(AND($AN142="",$AP142=""),"",IF(AND($AN142&lt;&gt;"",$AP142&lt;&gt;""),IF(AN142="세입없음","OK",IF(VLOOKUP($AN142,'3. 일입'!$AK$7:$AL$2000,2,FALSE)=$AP142,"OK","@@")),"@@"))</x:f>
        <x:v/>
      </x:c>
      <x:c r="AR142" s="93"/>
      <x:c r="AS142" s="533"/>
      <x:c r="AT142" s="374" t="str">
        <x:f>IF($AS142="","",IF($AS142="세입없음","OK",IF(COUNTIF('3. 일입'!$AN$8:$AN$2000,$AS142),"OK","@@")))</x:f>
        <x:v/>
      </x:c>
      <x:c r="AU142" s="356" t="str">
        <x:f t="shared" si="159"/>
        <x:v/>
      </x:c>
      <x:c r="AV142" s="374" t="str">
        <x:f t="shared" si="160"/>
        <x:v/>
      </x:c>
      <x:c r="AW142" s="93"/>
      <x:c r="AX142" s="348"/>
      <x:c r="AY142" s="29"/>
    </x:row>
    <x:row r="143" spans="1:51" s="20" customFormat="1" ht="80.099999999999994" customHeight="1">
      <x:c r="A143" s="155" t="str">
        <x:f>IF(D143="","",COUNTA($C$7:C143)-COUNTBLANK($C$7:C143)+9)</x:f>
        <x:v/>
      </x:c>
      <x:c r="B143" s="156" t="str">
        <x: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x:f>
        <x:v/>
      </x:c>
      <x:c r="C143" s="156" t="str">
        <x:f>IF(D143="","",IF(OR(D143="교육지원과",D143="총무과",D143="인사과"),"직접입력",VLOOKUP(D143,구분표!$A$3:$C$258,3,)))</x:f>
        <x:v/>
      </x:c>
      <x:c r="D143" s="219"/>
      <x:c r="E143" s="213"/>
      <x:c r="F143" s="388" t="str">
        <x:f t="shared" si="161"/>
        <x:v/>
      </x:c>
      <x:c r="G143" s="388" t="str">
        <x:f t="shared" si="161"/>
        <x:v/>
      </x:c>
      <x:c r="H143" s="213"/>
      <x:c r="I143" s="156" t="str">
        <x:f>IF(H143="","",VLOOKUP($H143,구분표!$K$3:$M$151,2,FALSE))</x:f>
        <x:v/>
      </x:c>
      <x:c r="J143" s="156" t="str">
        <x:f>IF(I143="","",VLOOKUP($H143,구분표!$K$3:$M$151,3,FALSE))</x:f>
        <x:v/>
      </x:c>
      <x:c r="K143" s="233"/>
      <x:c r="L143" s="233"/>
      <x:c r="M143" s="459" t="str">
        <x:f t="shared" si="162"/>
        <x:v/>
      </x:c>
      <x:c r="N143" s="459" t="str">
        <x:f t="shared" si="163"/>
        <x:v/>
      </x:c>
      <x:c r="O143" s="461" t="str">
        <x:f t="shared" si="145"/>
        <x:v/>
      </x:c>
      <x:c r="P143" s="460"/>
      <x:c r="Q143" s="461">
        <x:f t="shared" si="146"/>
        <x:v>0</x:v>
      </x:c>
      <x:c r="R143" s="462"/>
      <x:c r="S143" s="463">
        <x:f t="shared" si="147"/>
        <x:v>0</x:v>
      </x:c>
      <x:c r="T143" s="162" t="str">
        <x:f t="shared" si="148"/>
        <x:v>X</x:v>
      </x:c>
      <x:c r="U143" s="552"/>
      <x:c r="V143" s="331"/>
      <x:c r="W143" s="221"/>
      <x:c r="X143" s="223"/>
      <x:c r="Y143" s="334"/>
      <x:c r="Z143" s="334"/>
      <x:c r="AA143" s="29"/>
      <x:c r="AB143" s="486">
        <x:f t="shared" si="164"/>
        <x:v>0</x:v>
      </x:c>
      <x:c r="AC143" s="487">
        <x:f t="shared" si="149"/>
        <x:v>0</x:v>
      </x:c>
      <x:c r="AD143" s="487">
        <x:f t="shared" si="150"/>
        <x:v>0</x:v>
      </x:c>
      <x:c r="AE143" s="487">
        <x:f t="shared" si="151"/>
        <x:v>0</x:v>
      </x:c>
      <x:c r="AF143" s="374" t="str">
        <x:f t="shared" si="152"/>
        <x:v/>
      </x:c>
      <x:c r="AG143" s="93"/>
      <x:c r="AH143" s="488">
        <x:f t="shared" si="153"/>
        <x:v>0</x:v>
      </x:c>
      <x:c r="AI143" s="487">
        <x:f t="shared" si="154"/>
        <x:v>0</x:v>
      </x:c>
      <x:c r="AJ143" s="487">
        <x:f t="shared" si="155"/>
        <x:v>0</x:v>
      </x:c>
      <x:c r="AK143" s="487">
        <x:f t="shared" si="156"/>
        <x:v>0</x:v>
      </x:c>
      <x:c r="AL143" s="374" t="str">
        <x:f t="shared" si="157"/>
        <x:v/>
      </x:c>
      <x:c r="AM143" s="92"/>
      <x:c r="AN143" s="221"/>
      <x:c r="AO143" s="374" t="str">
        <x:f>IF($AP143="","",IF($AN143="세입없음","OK",IF(OR($AP143="재원확인",$AN143=""),"@@",IF(COUNTIF('3. 일입'!$AK$8:$AK$2000,$AN143),"OK","@@"))))</x:f>
        <x:v/>
      </x:c>
      <x:c r="AP143" s="356" t="str">
        <x:f t="shared" si="158"/>
        <x:v/>
      </x:c>
      <x:c r="AQ143" s="374" t="str">
        <x:f>IF(AND($AN143="",$AP143=""),"",IF(AND($AN143&lt;&gt;"",$AP143&lt;&gt;""),IF(AN143="세입없음","OK",IF(VLOOKUP($AN143,'3. 일입'!$AK$7:$AL$2000,2,FALSE)=$AP143,"OK","@@")),"@@"))</x:f>
        <x:v/>
      </x:c>
      <x:c r="AR143" s="93"/>
      <x:c r="AS143" s="533"/>
      <x:c r="AT143" s="374" t="str">
        <x:f>IF($AS143="","",IF($AS143="세입없음","OK",IF(COUNTIF('3. 일입'!$AN$8:$AN$2000,$AS143),"OK","@@")))</x:f>
        <x:v/>
      </x:c>
      <x:c r="AU143" s="356" t="str">
        <x:f t="shared" si="159"/>
        <x:v/>
      </x:c>
      <x:c r="AV143" s="374" t="str">
        <x:f t="shared" si="160"/>
        <x:v/>
      </x:c>
      <x:c r="AW143" s="93"/>
      <x:c r="AX143" s="348"/>
      <x:c r="AY143" s="29"/>
    </x:row>
    <x:row r="144" spans="1:51" s="20" customFormat="1" ht="80.099999999999994" customHeight="1">
      <x:c r="A144" s="155" t="str">
        <x:f>IF(D144="","",COUNTA($C$7:C144)-COUNTBLANK($C$7:C144)+9)</x:f>
        <x:v/>
      </x:c>
      <x:c r="B144" s="156" t="str">
        <x: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x:f>
        <x:v/>
      </x:c>
      <x:c r="C144" s="156" t="str">
        <x:f>IF(D144="","",IF(OR(D144="교육지원과",D144="총무과",D144="인사과"),"직접입력",VLOOKUP(D144,구분표!$A$3:$C$258,3,)))</x:f>
        <x:v/>
      </x:c>
      <x:c r="D144" s="219"/>
      <x:c r="E144" s="213"/>
      <x:c r="F144" s="388" t="str">
        <x:f t="shared" si="161"/>
        <x:v/>
      </x:c>
      <x:c r="G144" s="388" t="str">
        <x:f t="shared" si="161"/>
        <x:v/>
      </x:c>
      <x:c r="H144" s="213"/>
      <x:c r="I144" s="156" t="str">
        <x:f>IF(H144="","",VLOOKUP($H144,구분표!$K$3:$M$151,2,FALSE))</x:f>
        <x:v/>
      </x:c>
      <x:c r="J144" s="156" t="str">
        <x:f>IF(I144="","",VLOOKUP($H144,구분표!$K$3:$M$151,3,FALSE))</x:f>
        <x:v/>
      </x:c>
      <x:c r="K144" s="233"/>
      <x:c r="L144" s="233"/>
      <x:c r="M144" s="459" t="str">
        <x:f t="shared" si="162"/>
        <x:v/>
      </x:c>
      <x:c r="N144" s="459" t="str">
        <x:f t="shared" si="163"/>
        <x:v/>
      </x:c>
      <x:c r="O144" s="461" t="str">
        <x:f t="shared" si="145"/>
        <x:v/>
      </x:c>
      <x:c r="P144" s="460"/>
      <x:c r="Q144" s="461">
        <x:f t="shared" si="146"/>
        <x:v>0</x:v>
      </x:c>
      <x:c r="R144" s="462"/>
      <x:c r="S144" s="463">
        <x:f t="shared" si="147"/>
        <x:v>0</x:v>
      </x:c>
      <x:c r="T144" s="162" t="str">
        <x:f t="shared" si="148"/>
        <x:v>X</x:v>
      </x:c>
      <x:c r="U144" s="552"/>
      <x:c r="V144" s="331"/>
      <x:c r="W144" s="221"/>
      <x:c r="X144" s="223"/>
      <x:c r="Y144" s="334"/>
      <x:c r="Z144" s="334"/>
      <x:c r="AA144" s="29"/>
      <x:c r="AB144" s="486">
        <x:f t="shared" si="164"/>
        <x:v>0</x:v>
      </x:c>
      <x:c r="AC144" s="487">
        <x:f t="shared" si="149"/>
        <x:v>0</x:v>
      </x:c>
      <x:c r="AD144" s="487">
        <x:f t="shared" si="150"/>
        <x:v>0</x:v>
      </x:c>
      <x:c r="AE144" s="487">
        <x:f t="shared" si="151"/>
        <x:v>0</x:v>
      </x:c>
      <x:c r="AF144" s="374" t="str">
        <x:f t="shared" si="152"/>
        <x:v/>
      </x:c>
      <x:c r="AG144" s="93"/>
      <x:c r="AH144" s="488">
        <x:f t="shared" si="153"/>
        <x:v>0</x:v>
      </x:c>
      <x:c r="AI144" s="487">
        <x:f t="shared" si="154"/>
        <x:v>0</x:v>
      </x:c>
      <x:c r="AJ144" s="487">
        <x:f t="shared" si="155"/>
        <x:v>0</x:v>
      </x:c>
      <x:c r="AK144" s="487">
        <x:f t="shared" si="156"/>
        <x:v>0</x:v>
      </x:c>
      <x:c r="AL144" s="374" t="str">
        <x:f t="shared" si="157"/>
        <x:v/>
      </x:c>
      <x:c r="AM144" s="92"/>
      <x:c r="AN144" s="221"/>
      <x:c r="AO144" s="374" t="str">
        <x:f>IF($AP144="","",IF($AN144="세입없음","OK",IF(OR($AP144="재원확인",$AN144=""),"@@",IF(COUNTIF('3. 일입'!$AK$8:$AK$2000,$AN144),"OK","@@"))))</x:f>
        <x:v/>
      </x:c>
      <x:c r="AP144" s="356" t="str">
        <x:f t="shared" si="158"/>
        <x:v/>
      </x:c>
      <x:c r="AQ144" s="374" t="str">
        <x:f>IF(AND($AN144="",$AP144=""),"",IF(AND($AN144&lt;&gt;"",$AP144&lt;&gt;""),IF(AN144="세입없음","OK",IF(VLOOKUP($AN144,'3. 일입'!$AK$7:$AL$2000,2,FALSE)=$AP144,"OK","@@")),"@@"))</x:f>
        <x:v/>
      </x:c>
      <x:c r="AR144" s="93"/>
      <x:c r="AS144" s="533"/>
      <x:c r="AT144" s="374" t="str">
        <x:f>IF($AS144="","",IF($AS144="세입없음","OK",IF(COUNTIF('3. 일입'!$AN$8:$AN$2000,$AS144),"OK","@@")))</x:f>
        <x:v/>
      </x:c>
      <x:c r="AU144" s="356" t="str">
        <x:f t="shared" si="159"/>
        <x:v/>
      </x:c>
      <x:c r="AV144" s="374" t="str">
        <x:f t="shared" si="160"/>
        <x:v/>
      </x:c>
      <x:c r="AW144" s="93"/>
      <x:c r="AX144" s="348"/>
      <x:c r="AY144" s="29"/>
    </x:row>
    <x:row r="145" spans="1:51" s="20" customFormat="1" ht="80.099999999999994" customHeight="1">
      <x:c r="A145" s="155" t="str">
        <x:f>IF(D145="","",COUNTA($C$7:C145)-COUNTBLANK($C$7:C145)+9)</x:f>
        <x:v/>
      </x:c>
      <x:c r="B145" s="156" t="str">
        <x: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x:f>
        <x:v/>
      </x:c>
      <x:c r="C145" s="156" t="str">
        <x:f>IF(D145="","",IF(OR(D145="교육지원과",D145="총무과",D145="인사과"),"직접입력",VLOOKUP(D145,구분표!$A$3:$C$258,3,)))</x:f>
        <x:v/>
      </x:c>
      <x:c r="D145" s="219"/>
      <x:c r="E145" s="213"/>
      <x:c r="F145" s="388" t="str">
        <x:f t="shared" si="161"/>
        <x:v/>
      </x:c>
      <x:c r="G145" s="388" t="str">
        <x:f t="shared" si="161"/>
        <x:v/>
      </x:c>
      <x:c r="H145" s="213"/>
      <x:c r="I145" s="156" t="str">
        <x:f>IF(H145="","",VLOOKUP($H145,구분표!$K$3:$M$151,2,FALSE))</x:f>
        <x:v/>
      </x:c>
      <x:c r="J145" s="156" t="str">
        <x:f>IF(I145="","",VLOOKUP($H145,구분표!$K$3:$M$151,3,FALSE))</x:f>
        <x:v/>
      </x:c>
      <x:c r="K145" s="233"/>
      <x:c r="L145" s="233"/>
      <x:c r="M145" s="459" t="str">
        <x:f t="shared" si="162"/>
        <x:v/>
      </x:c>
      <x:c r="N145" s="459" t="str">
        <x:f t="shared" si="163"/>
        <x:v/>
      </x:c>
      <x:c r="O145" s="461" t="str">
        <x:f t="shared" si="145"/>
        <x:v/>
      </x:c>
      <x:c r="P145" s="460"/>
      <x:c r="Q145" s="461">
        <x:f t="shared" si="146"/>
        <x:v>0</x:v>
      </x:c>
      <x:c r="R145" s="462"/>
      <x:c r="S145" s="463">
        <x:f t="shared" si="147"/>
        <x:v>0</x:v>
      </x:c>
      <x:c r="T145" s="162" t="str">
        <x:f t="shared" si="148"/>
        <x:v>X</x:v>
      </x:c>
      <x:c r="U145" s="552"/>
      <x:c r="V145" s="331"/>
      <x:c r="W145" s="221"/>
      <x:c r="X145" s="223"/>
      <x:c r="Y145" s="334"/>
      <x:c r="Z145" s="334"/>
      <x:c r="AA145" s="29"/>
      <x:c r="AB145" s="486">
        <x:f t="shared" si="164"/>
        <x:v>0</x:v>
      </x:c>
      <x:c r="AC145" s="487">
        <x:f t="shared" si="149"/>
        <x:v>0</x:v>
      </x:c>
      <x:c r="AD145" s="487">
        <x:f t="shared" si="150"/>
        <x:v>0</x:v>
      </x:c>
      <x:c r="AE145" s="487">
        <x:f t="shared" si="151"/>
        <x:v>0</x:v>
      </x:c>
      <x:c r="AF145" s="374" t="str">
        <x:f t="shared" si="152"/>
        <x:v/>
      </x:c>
      <x:c r="AG145" s="93"/>
      <x:c r="AH145" s="488">
        <x:f t="shared" si="153"/>
        <x:v>0</x:v>
      </x:c>
      <x:c r="AI145" s="487">
        <x:f t="shared" si="154"/>
        <x:v>0</x:v>
      </x:c>
      <x:c r="AJ145" s="487">
        <x:f t="shared" si="155"/>
        <x:v>0</x:v>
      </x:c>
      <x:c r="AK145" s="487">
        <x:f t="shared" si="156"/>
        <x:v>0</x:v>
      </x:c>
      <x:c r="AL145" s="374" t="str">
        <x:f t="shared" si="157"/>
        <x:v/>
      </x:c>
      <x:c r="AM145" s="92"/>
      <x:c r="AN145" s="221"/>
      <x:c r="AO145" s="374" t="str">
        <x:f>IF($AP145="","",IF($AN145="세입없음","OK",IF(OR($AP145="재원확인",$AN145=""),"@@",IF(COUNTIF('3. 일입'!$AK$8:$AK$2000,$AN145),"OK","@@"))))</x:f>
        <x:v/>
      </x:c>
      <x:c r="AP145" s="356" t="str">
        <x:f t="shared" si="158"/>
        <x:v/>
      </x:c>
      <x:c r="AQ145" s="374" t="str">
        <x:f>IF(AND($AN145="",$AP145=""),"",IF(AND($AN145&lt;&gt;"",$AP145&lt;&gt;""),IF(AN145="세입없음","OK",IF(VLOOKUP($AN145,'3. 일입'!$AK$7:$AL$2000,2,FALSE)=$AP145,"OK","@@")),"@@"))</x:f>
        <x:v/>
      </x:c>
      <x:c r="AR145" s="93"/>
      <x:c r="AS145" s="533"/>
      <x:c r="AT145" s="374" t="str">
        <x:f>IF($AS145="","",IF($AS145="세입없음","OK",IF(COUNTIF('3. 일입'!$AN$8:$AN$2000,$AS145),"OK","@@")))</x:f>
        <x:v/>
      </x:c>
      <x:c r="AU145" s="356" t="str">
        <x:f t="shared" si="159"/>
        <x:v/>
      </x:c>
      <x:c r="AV145" s="374" t="str">
        <x:f t="shared" si="160"/>
        <x:v/>
      </x:c>
      <x:c r="AW145" s="93"/>
      <x:c r="AX145" s="348"/>
      <x:c r="AY145" s="29"/>
    </x:row>
    <x:row r="146" spans="1:51" s="20" customFormat="1" ht="80.099999999999994" customHeight="1">
      <x:c r="A146" s="155" t="str">
        <x:f>IF(D146="","",COUNTA($C$7:C146)-COUNTBLANK($C$7:C146)+9)</x:f>
        <x:v/>
      </x:c>
      <x:c r="B146" s="156" t="str">
        <x: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x:f>
        <x:v/>
      </x:c>
      <x:c r="C146" s="156" t="str">
        <x:f>IF(D146="","",IF(OR(D146="교육지원과",D146="총무과",D146="인사과"),"직접입력",VLOOKUP(D146,구분표!$A$3:$C$258,3,)))</x:f>
        <x:v/>
      </x:c>
      <x:c r="D146" s="219"/>
      <x:c r="E146" s="213"/>
      <x:c r="F146" s="388" t="str">
        <x:f t="shared" si="161"/>
        <x:v/>
      </x:c>
      <x:c r="G146" s="388" t="str">
        <x:f t="shared" si="161"/>
        <x:v/>
      </x:c>
      <x:c r="H146" s="213"/>
      <x:c r="I146" s="156" t="str">
        <x:f>IF(H146="","",VLOOKUP($H146,구분표!$K$3:$M$151,2,FALSE))</x:f>
        <x:v/>
      </x:c>
      <x:c r="J146" s="156" t="str">
        <x:f>IF(I146="","",VLOOKUP($H146,구분표!$K$3:$M$151,3,FALSE))</x:f>
        <x:v/>
      </x:c>
      <x:c r="K146" s="233"/>
      <x:c r="L146" s="233"/>
      <x:c r="M146" s="459" t="str">
        <x:f t="shared" si="162"/>
        <x:v/>
      </x:c>
      <x:c r="N146" s="459" t="str">
        <x:f t="shared" si="163"/>
        <x:v/>
      </x:c>
      <x:c r="O146" s="461" t="str">
        <x:f t="shared" si="145"/>
        <x:v/>
      </x:c>
      <x:c r="P146" s="460"/>
      <x:c r="Q146" s="461">
        <x:f t="shared" si="146"/>
        <x:v>0</x:v>
      </x:c>
      <x:c r="R146" s="462"/>
      <x:c r="S146" s="463">
        <x:f t="shared" si="147"/>
        <x:v>0</x:v>
      </x:c>
      <x:c r="T146" s="162" t="str">
        <x:f t="shared" si="148"/>
        <x:v>X</x:v>
      </x:c>
      <x:c r="U146" s="552"/>
      <x:c r="V146" s="331"/>
      <x:c r="W146" s="221"/>
      <x:c r="X146" s="223"/>
      <x:c r="Y146" s="334"/>
      <x:c r="Z146" s="334"/>
      <x:c r="AA146" s="29"/>
      <x:c r="AB146" s="486">
        <x:f t="shared" si="164"/>
        <x:v>0</x:v>
      </x:c>
      <x:c r="AC146" s="487">
        <x:f t="shared" si="149"/>
        <x:v>0</x:v>
      </x:c>
      <x:c r="AD146" s="487">
        <x:f t="shared" si="150"/>
        <x:v>0</x:v>
      </x:c>
      <x:c r="AE146" s="487">
        <x:f t="shared" si="151"/>
        <x:v>0</x:v>
      </x:c>
      <x:c r="AF146" s="374" t="str">
        <x:f t="shared" si="152"/>
        <x:v/>
      </x:c>
      <x:c r="AG146" s="93"/>
      <x:c r="AH146" s="488">
        <x:f t="shared" si="153"/>
        <x:v>0</x:v>
      </x:c>
      <x:c r="AI146" s="487">
        <x:f t="shared" si="154"/>
        <x:v>0</x:v>
      </x:c>
      <x:c r="AJ146" s="487">
        <x:f t="shared" si="155"/>
        <x:v>0</x:v>
      </x:c>
      <x:c r="AK146" s="487">
        <x:f t="shared" si="156"/>
        <x:v>0</x:v>
      </x:c>
      <x:c r="AL146" s="374" t="str">
        <x:f t="shared" si="157"/>
        <x:v/>
      </x:c>
      <x:c r="AM146" s="92"/>
      <x:c r="AN146" s="221"/>
      <x:c r="AO146" s="374" t="str">
        <x:f>IF($AP146="","",IF($AN146="세입없음","OK",IF(OR($AP146="재원확인",$AN146=""),"@@",IF(COUNTIF('3. 일입'!$AK$8:$AK$2000,$AN146),"OK","@@"))))</x:f>
        <x:v/>
      </x:c>
      <x:c r="AP146" s="356" t="str">
        <x:f t="shared" si="158"/>
        <x:v/>
      </x:c>
      <x:c r="AQ146" s="374" t="str">
        <x:f>IF(AND($AN146="",$AP146=""),"",IF(AND($AN146&lt;&gt;"",$AP146&lt;&gt;""),IF(AN146="세입없음","OK",IF(VLOOKUP($AN146,'3. 일입'!$AK$7:$AL$2000,2,FALSE)=$AP146,"OK","@@")),"@@"))</x:f>
        <x:v/>
      </x:c>
      <x:c r="AR146" s="93"/>
      <x:c r="AS146" s="533"/>
      <x:c r="AT146" s="374" t="str">
        <x:f>IF($AS146="","",IF($AS146="세입없음","OK",IF(COUNTIF('3. 일입'!$AN$8:$AN$2000,$AS146),"OK","@@")))</x:f>
        <x:v/>
      </x:c>
      <x:c r="AU146" s="356" t="str">
        <x:f t="shared" si="159"/>
        <x:v/>
      </x:c>
      <x:c r="AV146" s="374" t="str">
        <x:f t="shared" si="160"/>
        <x:v/>
      </x:c>
      <x:c r="AW146" s="93"/>
      <x:c r="AX146" s="348"/>
      <x:c r="AY146" s="29"/>
    </x:row>
    <x:row r="147" spans="1:51" s="20" customFormat="1" ht="80.099999999999994" customHeight="1">
      <x:c r="A147" s="155" t="str">
        <x:f>IF(D147="","",COUNTA($C$7:C147)-COUNTBLANK($C$7:C147)+9)</x:f>
        <x:v/>
      </x:c>
      <x:c r="B147" s="156" t="str">
        <x: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x:f>
        <x:v/>
      </x:c>
      <x:c r="C147" s="156" t="str">
        <x:f>IF(D147="","",IF(OR(D147="교육지원과",D147="총무과",D147="인사과"),"직접입력",VLOOKUP(D147,구분표!$A$3:$C$258,3,)))</x:f>
        <x:v/>
      </x:c>
      <x:c r="D147" s="219"/>
      <x:c r="E147" s="213"/>
      <x:c r="F147" s="388" t="str">
        <x:f t="shared" si="161"/>
        <x:v/>
      </x:c>
      <x:c r="G147" s="388" t="str">
        <x:f t="shared" si="161"/>
        <x:v/>
      </x:c>
      <x:c r="H147" s="213"/>
      <x:c r="I147" s="156" t="str">
        <x:f>IF(H147="","",VLOOKUP($H147,구분표!$K$3:$M$151,2,FALSE))</x:f>
        <x:v/>
      </x:c>
      <x:c r="J147" s="156" t="str">
        <x:f>IF(I147="","",VLOOKUP($H147,구분표!$K$3:$M$151,3,FALSE))</x:f>
        <x:v/>
      </x:c>
      <x:c r="K147" s="233"/>
      <x:c r="L147" s="233"/>
      <x:c r="M147" s="459" t="str">
        <x:f t="shared" si="162"/>
        <x:v/>
      </x:c>
      <x:c r="N147" s="459" t="str">
        <x:f t="shared" si="163"/>
        <x:v/>
      </x:c>
      <x:c r="O147" s="461" t="str">
        <x:f t="shared" si="145"/>
        <x:v/>
      </x:c>
      <x:c r="P147" s="460"/>
      <x:c r="Q147" s="461">
        <x:f t="shared" si="146"/>
        <x:v>0</x:v>
      </x:c>
      <x:c r="R147" s="462"/>
      <x:c r="S147" s="463">
        <x:f t="shared" si="147"/>
        <x:v>0</x:v>
      </x:c>
      <x:c r="T147" s="162" t="str">
        <x:f t="shared" si="148"/>
        <x:v>X</x:v>
      </x:c>
      <x:c r="U147" s="552"/>
      <x:c r="V147" s="331"/>
      <x:c r="W147" s="221"/>
      <x:c r="X147" s="223"/>
      <x:c r="Y147" s="334"/>
      <x:c r="Z147" s="334"/>
      <x:c r="AA147" s="29"/>
      <x:c r="AB147" s="486">
        <x:f t="shared" si="164"/>
        <x:v>0</x:v>
      </x:c>
      <x:c r="AC147" s="487">
        <x:f t="shared" si="149"/>
        <x:v>0</x:v>
      </x:c>
      <x:c r="AD147" s="487">
        <x:f t="shared" si="150"/>
        <x:v>0</x:v>
      </x:c>
      <x:c r="AE147" s="487">
        <x:f t="shared" si="151"/>
        <x:v>0</x:v>
      </x:c>
      <x:c r="AF147" s="374" t="str">
        <x:f t="shared" si="152"/>
        <x:v/>
      </x:c>
      <x:c r="AG147" s="93"/>
      <x:c r="AH147" s="488">
        <x:f t="shared" si="153"/>
        <x:v>0</x:v>
      </x:c>
      <x:c r="AI147" s="487">
        <x:f t="shared" si="154"/>
        <x:v>0</x:v>
      </x:c>
      <x:c r="AJ147" s="487">
        <x:f t="shared" si="155"/>
        <x:v>0</x:v>
      </x:c>
      <x:c r="AK147" s="487">
        <x:f t="shared" si="156"/>
        <x:v>0</x:v>
      </x:c>
      <x:c r="AL147" s="374" t="str">
        <x:f t="shared" si="157"/>
        <x:v/>
      </x:c>
      <x:c r="AM147" s="92"/>
      <x:c r="AN147" s="221"/>
      <x:c r="AO147" s="374" t="str">
        <x:f>IF($AP147="","",IF($AN147="세입없음","OK",IF(OR($AP147="재원확인",$AN147=""),"@@",IF(COUNTIF('3. 일입'!$AK$8:$AK$2000,$AN147),"OK","@@"))))</x:f>
        <x:v/>
      </x:c>
      <x:c r="AP147" s="356" t="str">
        <x:f t="shared" si="158"/>
        <x:v/>
      </x:c>
      <x:c r="AQ147" s="374" t="str">
        <x:f>IF(AND($AN147="",$AP147=""),"",IF(AND($AN147&lt;&gt;"",$AP147&lt;&gt;""),IF(AN147="세입없음","OK",IF(VLOOKUP($AN147,'3. 일입'!$AK$7:$AL$2000,2,FALSE)=$AP147,"OK","@@")),"@@"))</x:f>
        <x:v/>
      </x:c>
      <x:c r="AR147" s="93"/>
      <x:c r="AS147" s="533"/>
      <x:c r="AT147" s="374" t="str">
        <x:f>IF($AS147="","",IF($AS147="세입없음","OK",IF(COUNTIF('3. 일입'!$AN$8:$AN$2000,$AS147),"OK","@@")))</x:f>
        <x:v/>
      </x:c>
      <x:c r="AU147" s="356" t="str">
        <x:f t="shared" si="159"/>
        <x:v/>
      </x:c>
      <x:c r="AV147" s="374" t="str">
        <x:f t="shared" si="160"/>
        <x:v/>
      </x:c>
      <x:c r="AW147" s="93"/>
      <x:c r="AX147" s="348"/>
      <x:c r="AY147" s="29"/>
    </x:row>
    <x:row r="148" spans="1:51" s="20" customFormat="1" ht="80.099999999999994" customHeight="1">
      <x:c r="A148" s="155" t="str">
        <x:f>IF(D148="","",COUNTA($C$7:C148)-COUNTBLANK($C$7:C148)+9)</x:f>
        <x:v/>
      </x:c>
      <x:c r="B148" s="156" t="str">
        <x: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x:f>
        <x:v/>
      </x:c>
      <x:c r="C148" s="156" t="str">
        <x:f>IF(D148="","",IF(OR(D148="교육지원과",D148="총무과",D148="인사과"),"직접입력",VLOOKUP(D148,구분표!$A$3:$C$258,3,)))</x:f>
        <x:v/>
      </x:c>
      <x:c r="D148" s="219"/>
      <x:c r="E148" s="213"/>
      <x:c r="F148" s="388" t="str">
        <x:f t="shared" si="161"/>
        <x:v/>
      </x:c>
      <x:c r="G148" s="388" t="str">
        <x:f t="shared" si="161"/>
        <x:v/>
      </x:c>
      <x:c r="H148" s="213"/>
      <x:c r="I148" s="156" t="str">
        <x:f>IF(H148="","",VLOOKUP($H148,구분표!$K$3:$M$151,2,FALSE))</x:f>
        <x:v/>
      </x:c>
      <x:c r="J148" s="156" t="str">
        <x:f>IF(I148="","",VLOOKUP($H148,구분표!$K$3:$M$151,3,FALSE))</x:f>
        <x:v/>
      </x:c>
      <x:c r="K148" s="233"/>
      <x:c r="L148" s="233"/>
      <x:c r="M148" s="459" t="str">
        <x:f t="shared" si="162"/>
        <x:v/>
      </x:c>
      <x:c r="N148" s="459" t="str">
        <x:f t="shared" si="163"/>
        <x:v/>
      </x:c>
      <x:c r="O148" s="461" t="str">
        <x:f t="shared" si="145"/>
        <x:v/>
      </x:c>
      <x:c r="P148" s="460"/>
      <x:c r="Q148" s="461">
        <x:f t="shared" si="146"/>
        <x:v>0</x:v>
      </x:c>
      <x:c r="R148" s="462"/>
      <x:c r="S148" s="463">
        <x:f t="shared" si="147"/>
        <x:v>0</x:v>
      </x:c>
      <x:c r="T148" s="162" t="str">
        <x:f t="shared" si="148"/>
        <x:v>X</x:v>
      </x:c>
      <x:c r="U148" s="552"/>
      <x:c r="V148" s="331"/>
      <x:c r="W148" s="221"/>
      <x:c r="X148" s="223"/>
      <x:c r="Y148" s="334"/>
      <x:c r="Z148" s="334"/>
      <x:c r="AA148" s="29"/>
      <x:c r="AB148" s="486">
        <x:f t="shared" si="164"/>
        <x:v>0</x:v>
      </x:c>
      <x:c r="AC148" s="487">
        <x:f t="shared" si="149"/>
        <x:v>0</x:v>
      </x:c>
      <x:c r="AD148" s="487">
        <x:f t="shared" si="150"/>
        <x:v>0</x:v>
      </x:c>
      <x:c r="AE148" s="487">
        <x:f t="shared" si="151"/>
        <x:v>0</x:v>
      </x:c>
      <x:c r="AF148" s="374" t="str">
        <x:f t="shared" si="152"/>
        <x:v/>
      </x:c>
      <x:c r="AG148" s="93"/>
      <x:c r="AH148" s="488">
        <x:f t="shared" si="153"/>
        <x:v>0</x:v>
      </x:c>
      <x:c r="AI148" s="487">
        <x:f t="shared" si="154"/>
        <x:v>0</x:v>
      </x:c>
      <x:c r="AJ148" s="487">
        <x:f t="shared" si="155"/>
        <x:v>0</x:v>
      </x:c>
      <x:c r="AK148" s="487">
        <x:f t="shared" si="156"/>
        <x:v>0</x:v>
      </x:c>
      <x:c r="AL148" s="374" t="str">
        <x:f t="shared" si="157"/>
        <x:v/>
      </x:c>
      <x:c r="AM148" s="92"/>
      <x:c r="AN148" s="221"/>
      <x:c r="AO148" s="374" t="str">
        <x:f>IF($AP148="","",IF($AN148="세입없음","OK",IF(OR($AP148="재원확인",$AN148=""),"@@",IF(COUNTIF('3. 일입'!$AK$8:$AK$2000,$AN148),"OK","@@"))))</x:f>
        <x:v/>
      </x:c>
      <x:c r="AP148" s="356" t="str">
        <x:f t="shared" si="158"/>
        <x:v/>
      </x:c>
      <x:c r="AQ148" s="374" t="str">
        <x:f>IF(AND($AN148="",$AP148=""),"",IF(AND($AN148&lt;&gt;"",$AP148&lt;&gt;""),IF(AN148="세입없음","OK",IF(VLOOKUP($AN148,'3. 일입'!$AK$7:$AL$2000,2,FALSE)=$AP148,"OK","@@")),"@@"))</x:f>
        <x:v/>
      </x:c>
      <x:c r="AR148" s="93"/>
      <x:c r="AS148" s="533"/>
      <x:c r="AT148" s="374" t="str">
        <x:f>IF($AS148="","",IF($AS148="세입없음","OK",IF(COUNTIF('3. 일입'!$AN$8:$AN$2000,$AS148),"OK","@@")))</x:f>
        <x:v/>
      </x:c>
      <x:c r="AU148" s="356" t="str">
        <x:f t="shared" si="159"/>
        <x:v/>
      </x:c>
      <x:c r="AV148" s="374" t="str">
        <x:f t="shared" si="160"/>
        <x:v/>
      </x:c>
      <x:c r="AW148" s="93"/>
      <x:c r="AX148" s="348"/>
      <x:c r="AY148" s="29"/>
    </x:row>
    <x:row r="149" spans="1:51" s="20" customFormat="1" ht="80.099999999999994" customHeight="1">
      <x:c r="A149" s="155" t="str">
        <x:f>IF(D149="","",COUNTA($C$7:C149)-COUNTBLANK($C$7:C149)+9)</x:f>
        <x:v/>
      </x:c>
      <x:c r="B149" s="156" t="str">
        <x: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x:f>
        <x:v/>
      </x:c>
      <x:c r="C149" s="156" t="str">
        <x:f>IF(D149="","",IF(OR(D149="교육지원과",D149="총무과",D149="인사과"),"직접입력",VLOOKUP(D149,구분표!$A$3:$C$258,3,)))</x:f>
        <x:v/>
      </x:c>
      <x:c r="D149" s="219"/>
      <x:c r="E149" s="213"/>
      <x:c r="F149" s="388" t="str">
        <x:f t="shared" si="161"/>
        <x:v/>
      </x:c>
      <x:c r="G149" s="388" t="str">
        <x:f t="shared" si="161"/>
        <x:v/>
      </x:c>
      <x:c r="H149" s="213"/>
      <x:c r="I149" s="156" t="str">
        <x:f>IF(H149="","",VLOOKUP($H149,구분표!$K$3:$M$151,2,FALSE))</x:f>
        <x:v/>
      </x:c>
      <x:c r="J149" s="156" t="str">
        <x:f>IF(I149="","",VLOOKUP($H149,구분표!$K$3:$M$151,3,FALSE))</x:f>
        <x:v/>
      </x:c>
      <x:c r="K149" s="233"/>
      <x:c r="L149" s="233"/>
      <x:c r="M149" s="459" t="str">
        <x:f t="shared" si="162"/>
        <x:v/>
      </x:c>
      <x:c r="N149" s="459" t="str">
        <x:f t="shared" si="163"/>
        <x:v/>
      </x:c>
      <x:c r="O149" s="461" t="str">
        <x:f t="shared" si="145"/>
        <x:v/>
      </x:c>
      <x:c r="P149" s="460"/>
      <x:c r="Q149" s="461">
        <x:f t="shared" si="146"/>
        <x:v>0</x:v>
      </x:c>
      <x:c r="R149" s="462"/>
      <x:c r="S149" s="463">
        <x:f t="shared" si="147"/>
        <x:v>0</x:v>
      </x:c>
      <x:c r="T149" s="162" t="str">
        <x:f t="shared" si="148"/>
        <x:v>X</x:v>
      </x:c>
      <x:c r="U149" s="552"/>
      <x:c r="V149" s="331"/>
      <x:c r="W149" s="221"/>
      <x:c r="X149" s="223"/>
      <x:c r="Y149" s="334"/>
      <x:c r="Z149" s="334"/>
      <x:c r="AA149" s="29"/>
      <x:c r="AB149" s="486">
        <x:f t="shared" si="164"/>
        <x:v>0</x:v>
      </x:c>
      <x:c r="AC149" s="487">
        <x:f t="shared" si="149"/>
        <x:v>0</x:v>
      </x:c>
      <x:c r="AD149" s="487">
        <x:f t="shared" si="150"/>
        <x:v>0</x:v>
      </x:c>
      <x:c r="AE149" s="487">
        <x:f t="shared" si="151"/>
        <x:v>0</x:v>
      </x:c>
      <x:c r="AF149" s="374" t="str">
        <x:f t="shared" si="152"/>
        <x:v/>
      </x:c>
      <x:c r="AG149" s="93"/>
      <x:c r="AH149" s="488">
        <x:f t="shared" si="153"/>
        <x:v>0</x:v>
      </x:c>
      <x:c r="AI149" s="487">
        <x:f t="shared" si="154"/>
        <x:v>0</x:v>
      </x:c>
      <x:c r="AJ149" s="487">
        <x:f t="shared" si="155"/>
        <x:v>0</x:v>
      </x:c>
      <x:c r="AK149" s="487">
        <x:f t="shared" si="156"/>
        <x:v>0</x:v>
      </x:c>
      <x:c r="AL149" s="374" t="str">
        <x:f t="shared" si="157"/>
        <x:v/>
      </x:c>
      <x:c r="AM149" s="92"/>
      <x:c r="AN149" s="221"/>
      <x:c r="AO149" s="374" t="str">
        <x:f>IF($AP149="","",IF($AN149="세입없음","OK",IF(OR($AP149="재원확인",$AN149=""),"@@",IF(COUNTIF('3. 일입'!$AK$8:$AK$2000,$AN149),"OK","@@"))))</x:f>
        <x:v/>
      </x:c>
      <x:c r="AP149" s="356" t="str">
        <x:f t="shared" si="158"/>
        <x:v/>
      </x:c>
      <x:c r="AQ149" s="374" t="str">
        <x:f>IF(AND($AN149="",$AP149=""),"",IF(AND($AN149&lt;&gt;"",$AP149&lt;&gt;""),IF(AN149="세입없음","OK",IF(VLOOKUP($AN149,'3. 일입'!$AK$7:$AL$2000,2,FALSE)=$AP149,"OK","@@")),"@@"))</x:f>
        <x:v/>
      </x:c>
      <x:c r="AR149" s="93"/>
      <x:c r="AS149" s="533"/>
      <x:c r="AT149" s="374" t="str">
        <x:f>IF($AS149="","",IF($AS149="세입없음","OK",IF(COUNTIF('3. 일입'!$AN$8:$AN$2000,$AS149),"OK","@@")))</x:f>
        <x:v/>
      </x:c>
      <x:c r="AU149" s="356" t="str">
        <x:f t="shared" si="159"/>
        <x:v/>
      </x:c>
      <x:c r="AV149" s="374" t="str">
        <x:f t="shared" si="160"/>
        <x:v/>
      </x:c>
      <x:c r="AW149" s="93"/>
      <x:c r="AX149" s="348"/>
      <x:c r="AY149" s="29"/>
    </x:row>
    <x:row r="150" spans="1:51" s="20" customFormat="1" ht="80.099999999999994" customHeight="1">
      <x:c r="A150" s="155" t="str">
        <x:f>IF(D150="","",COUNTA($C$7:C150)-COUNTBLANK($C$7:C150)+9)</x:f>
        <x:v/>
      </x:c>
      <x:c r="B150" s="156" t="str">
        <x: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x:f>
        <x:v/>
      </x:c>
      <x:c r="C150" s="156" t="str">
        <x:f>IF(D150="","",IF(OR(D150="교육지원과",D150="총무과",D150="인사과"),"직접입력",VLOOKUP(D150,구분표!$A$3:$C$258,3,)))</x:f>
        <x:v/>
      </x:c>
      <x:c r="D150" s="219"/>
      <x:c r="E150" s="213"/>
      <x:c r="F150" s="388" t="str">
        <x:f t="shared" si="161"/>
        <x:v/>
      </x:c>
      <x:c r="G150" s="388" t="str">
        <x:f t="shared" si="161"/>
        <x:v/>
      </x:c>
      <x:c r="H150" s="213"/>
      <x:c r="I150" s="156" t="str">
        <x:f>IF(H150="","",VLOOKUP($H150,구분표!$K$3:$M$151,2,FALSE))</x:f>
        <x:v/>
      </x:c>
      <x:c r="J150" s="156" t="str">
        <x:f>IF(I150="","",VLOOKUP($H150,구분표!$K$3:$M$151,3,FALSE))</x:f>
        <x:v/>
      </x:c>
      <x:c r="K150" s="233"/>
      <x:c r="L150" s="233"/>
      <x:c r="M150" s="459" t="str">
        <x:f t="shared" si="162"/>
        <x:v/>
      </x:c>
      <x:c r="N150" s="459" t="str">
        <x:f t="shared" si="163"/>
        <x:v/>
      </x:c>
      <x:c r="O150" s="461" t="str">
        <x:f t="shared" si="145"/>
        <x:v/>
      </x:c>
      <x:c r="P150" s="460"/>
      <x:c r="Q150" s="461">
        <x:f t="shared" si="146"/>
        <x:v>0</x:v>
      </x:c>
      <x:c r="R150" s="462"/>
      <x:c r="S150" s="463">
        <x:f t="shared" si="147"/>
        <x:v>0</x:v>
      </x:c>
      <x:c r="T150" s="162" t="str">
        <x:f t="shared" si="148"/>
        <x:v>X</x:v>
      </x:c>
      <x:c r="U150" s="552"/>
      <x:c r="V150" s="331"/>
      <x:c r="W150" s="221"/>
      <x:c r="X150" s="223"/>
      <x:c r="Y150" s="334"/>
      <x:c r="Z150" s="334"/>
      <x:c r="AA150" s="29"/>
      <x:c r="AB150" s="486">
        <x:f t="shared" si="164"/>
        <x:v>0</x:v>
      </x:c>
      <x:c r="AC150" s="487">
        <x:f t="shared" si="149"/>
        <x:v>0</x:v>
      </x:c>
      <x:c r="AD150" s="487">
        <x:f t="shared" si="150"/>
        <x:v>0</x:v>
      </x:c>
      <x:c r="AE150" s="487">
        <x:f t="shared" si="151"/>
        <x:v>0</x:v>
      </x:c>
      <x:c r="AF150" s="374" t="str">
        <x:f t="shared" si="152"/>
        <x:v/>
      </x:c>
      <x:c r="AG150" s="93"/>
      <x:c r="AH150" s="488">
        <x:f t="shared" si="153"/>
        <x:v>0</x:v>
      </x:c>
      <x:c r="AI150" s="487">
        <x:f t="shared" si="154"/>
        <x:v>0</x:v>
      </x:c>
      <x:c r="AJ150" s="487">
        <x:f t="shared" si="155"/>
        <x:v>0</x:v>
      </x:c>
      <x:c r="AK150" s="487">
        <x:f t="shared" si="156"/>
        <x:v>0</x:v>
      </x:c>
      <x:c r="AL150" s="374" t="str">
        <x:f t="shared" si="157"/>
        <x:v/>
      </x:c>
      <x:c r="AM150" s="92"/>
      <x:c r="AN150" s="221"/>
      <x:c r="AO150" s="374" t="str">
        <x:f>IF($AP150="","",IF($AN150="세입없음","OK",IF(OR($AP150="재원확인",$AN150=""),"@@",IF(COUNTIF('3. 일입'!$AK$8:$AK$2000,$AN150),"OK","@@"))))</x:f>
        <x:v/>
      </x:c>
      <x:c r="AP150" s="356" t="str">
        <x:f t="shared" si="158"/>
        <x:v/>
      </x:c>
      <x:c r="AQ150" s="374" t="str">
        <x:f>IF(AND($AN150="",$AP150=""),"",IF(AND($AN150&lt;&gt;"",$AP150&lt;&gt;""),IF(AN150="세입없음","OK",IF(VLOOKUP($AN150,'3. 일입'!$AK$7:$AL$2000,2,FALSE)=$AP150,"OK","@@")),"@@"))</x:f>
        <x:v/>
      </x:c>
      <x:c r="AR150" s="93"/>
      <x:c r="AS150" s="533"/>
      <x:c r="AT150" s="374" t="str">
        <x:f>IF($AS150="","",IF($AS150="세입없음","OK",IF(COUNTIF('3. 일입'!$AN$8:$AN$2000,$AS150),"OK","@@")))</x:f>
        <x:v/>
      </x:c>
      <x:c r="AU150" s="356" t="str">
        <x:f t="shared" si="159"/>
        <x:v/>
      </x:c>
      <x:c r="AV150" s="374" t="str">
        <x:f t="shared" si="160"/>
        <x:v/>
      </x:c>
      <x:c r="AW150" s="93"/>
      <x:c r="AX150" s="348"/>
      <x:c r="AY150" s="29"/>
    </x:row>
    <x:row r="151" spans="1:51" s="345" customFormat="1" ht="60" customHeight="1">
      <x:c r="A151" s="337"/>
      <x:c r="B151" s="979" t="s">
        <x:v>62</x:v>
      </x:c>
      <x:c r="C151" s="979"/>
      <x:c r="D151" s="979"/>
      <x:c r="E151" s="979"/>
      <x:c r="F151" s="979"/>
      <x:c r="G151" s="979"/>
      <x:c r="H151" s="338"/>
      <x:c r="I151" s="359"/>
      <x:c r="J151" s="359"/>
      <x:c r="K151" s="339"/>
      <x:c r="L151" s="340" t="str">
        <x:f>SUBTOTAL(3,$L152:$L166)&amp;"건"</x:f>
        <x:v>0건</x:v>
      </x:c>
      <x:c r="M151" s="476">
        <x:f t="shared" ref="M151:N151" si="165">SUBTOTAL(9,M152:M166)</x:f>
        <x:v>0</x:v>
      </x:c>
      <x:c r="N151" s="476">
        <x:f t="shared" si="165"/>
        <x:v>0</x:v>
      </x:c>
      <x:c r="O151" s="482">
        <x:f t="shared" ref="O151:S151" si="166">SUBTOTAL(9,O152:O166)</x:f>
        <x:v>0</x:v>
      </x:c>
      <x:c r="P151" s="482">
        <x:f t="shared" si="166"/>
        <x:v>0</x:v>
      </x:c>
      <x:c r="Q151" s="482">
        <x:f t="shared" si="166"/>
        <x:v>0</x:v>
      </x:c>
      <x:c r="R151" s="482">
        <x:f t="shared" si="166"/>
        <x:v>0</x:v>
      </x:c>
      <x:c r="S151" s="482">
        <x:f t="shared" si="166"/>
        <x:v>0</x:v>
      </x:c>
      <x:c r="T151" s="337"/>
      <x:c r="U151" s="551"/>
      <x:c r="V151" s="346"/>
      <x:c r="W151" s="342"/>
      <x:c r="X151" s="343"/>
      <x:c r="Y151" s="343"/>
      <x:c r="Z151" s="343"/>
      <x:c r="AA151" s="344"/>
      <x:c r="AB151" s="483">
        <x:f>SUBTOTAL(9,AB152:AB166)</x:f>
        <x:v>0</x:v>
      </x:c>
      <x:c r="AC151" s="483">
        <x:f>SUBTOTAL(9,AC152:AC166)</x:f>
        <x:v>0</x:v>
      </x:c>
      <x:c r="AD151" s="483">
        <x:f>SUBTOTAL(9,AD152:AD166)</x:f>
        <x:v>0</x:v>
      </x:c>
      <x:c r="AE151" s="483">
        <x:f>SUBTOTAL(9,AE152:AE166)</x:f>
        <x:v>0</x:v>
      </x:c>
      <x:c r="AF151" s="554" t="str">
        <x:f>IF(COUNTIF(AF152:AF166,"@@")&gt;0,"@@","OK")</x:f>
        <x:v>OK</x:v>
      </x:c>
      <x:c r="AG151" s="344"/>
      <x:c r="AH151" s="483">
        <x:f>SUBTOTAL(9,AH152:AH166)</x:f>
        <x:v>0</x:v>
      </x:c>
      <x:c r="AI151" s="483">
        <x:f>SUBTOTAL(9,AI152:AI166)</x:f>
        <x:v>0</x:v>
      </x:c>
      <x:c r="AJ151" s="483">
        <x:f>SUBTOTAL(9,AJ152:AJ166)</x:f>
        <x:v>0</x:v>
      </x:c>
      <x:c r="AK151" s="483">
        <x:f>SUBTOTAL(9,AK152:AK166)</x:f>
        <x:v>0</x:v>
      </x:c>
      <x:c r="AL151" s="554" t="str">
        <x:f>IF(COUNTIF(AL152:AL166,"@@")&gt;0,"@@","OK")</x:f>
        <x:v>OK</x:v>
      </x:c>
      <x:c r="AM151" s="344"/>
      <x:c r="AN151" s="343"/>
      <x:c r="AO151" s="554" t="str">
        <x:f>IF(COUNTIF(AO152:AO166,"@@")&gt;0,"@@","OK")</x:f>
        <x:v>OK</x:v>
      </x:c>
      <x:c r="AP151" s="343"/>
      <x:c r="AQ151" s="554" t="str">
        <x:f>IF(COUNTIF(AQ152:AQ166,"@@")&gt;0,"@@","OK")</x:f>
        <x:v>OK</x:v>
      </x:c>
      <x:c r="AR151" s="344"/>
      <x:c r="AS151" s="343"/>
      <x:c r="AT151" s="554" t="str">
        <x:f>IF(COUNTIF(AT152:AT166,"@@")&gt;0,"@@","OK")</x:f>
        <x:v>OK</x:v>
      </x:c>
      <x:c r="AU151" s="343"/>
      <x:c r="AV151" s="554" t="str">
        <x:f>IF(COUNTIF(AV152:AV166,"@@")&gt;0,"@@","OK")</x:f>
        <x:v>OK</x:v>
      </x:c>
      <x:c r="AW151" s="344"/>
      <x:c r="AX151" s="343"/>
      <x:c r="AY151" s="344"/>
    </x:row>
    <x:row r="152" spans="1:51" ht="80.099999999999994" customHeight="1">
      <x:c r="A152" s="155" t="str">
        <x:f>IF(D152="","",COUNTA($C$7:C152)-COUNTBLANK($C$7:C152)+10)</x:f>
        <x:v/>
      </x:c>
      <x:c r="B152" s="156" t="str">
        <x: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x:f>
        <x:v/>
      </x:c>
      <x:c r="C152" s="156" t="str">
        <x:f>IF(D152="","",IF(OR(D152="교육지원과",D152="총무과",D152="인사과"),"직접입력",VLOOKUP(D152,구분표!$A$3:$C$258,3,)))</x:f>
        <x:v/>
      </x:c>
      <x:c r="D152" s="219"/>
      <x:c r="E152" s="213"/>
      <x:c r="F152" s="388" t="str">
        <x:f>IF($E152="","",IF($E152="2추","직접입력","-"))</x:f>
        <x:v/>
      </x:c>
      <x:c r="G152" s="388" t="str">
        <x:f>IF($E152="","",IF($E152="2추","직접입력","-"))</x:f>
        <x:v/>
      </x:c>
      <x:c r="H152" s="213"/>
      <x:c r="I152" s="156" t="str">
        <x:f>IF(H152="","",VLOOKUP($H152,구분표!$K$3:$M$151,2,FALSE))</x:f>
        <x:v/>
      </x:c>
      <x:c r="J152" s="156" t="str">
        <x:f>IF(I152="","",VLOOKUP($H152,구분표!$K$3:$M$151,3,FALSE))</x:f>
        <x:v/>
      </x:c>
      <x:c r="K152" s="233"/>
      <x:c r="L152" s="233"/>
      <x:c r="M152" s="459" t="str">
        <x:f>IF($E152="","",IF(OR($E152="2추",$E152="1추",$E152="본예산"),"금액입력","-"))</x:f>
        <x:v/>
      </x:c>
      <x:c r="N152" s="459" t="str">
        <x:f>IF($E152="","",IF($E152="2추","금액입력","-"))</x:f>
        <x:v/>
      </x:c>
      <x:c r="O152" s="461" t="str">
        <x:f t="shared" ref="O152:O166" si="167">IF($E152="","",SUM(M152:N152))</x:f>
        <x:v/>
      </x:c>
      <x:c r="P152" s="460"/>
      <x:c r="Q152" s="461">
        <x:f t="shared" ref="Q152:Q166" si="168">SUM(O152:P152)</x:f>
        <x:v>0</x:v>
      </x:c>
      <x:c r="R152" s="462"/>
      <x:c r="S152" s="463">
        <x:f t="shared" ref="S152:S166" si="169">SUM(O152,R152)</x:f>
        <x:v>0</x:v>
      </x:c>
      <x:c r="T152" s="162" t="str">
        <x:f t="shared" ref="T152:T166" si="170">IF(AND((Q152=0),(S152&gt;0)),"O",IF(AND((P152&lt;0),(Q152-S152&lt;0)),"O","X"))</x:f>
        <x:v>X</x:v>
      </x:c>
      <x:c r="U152" s="552"/>
      <x:c r="V152" s="331"/>
      <x:c r="W152" s="221"/>
      <x:c r="X152" s="223"/>
      <x:c r="Y152" s="334"/>
      <x:c r="Z152" s="334"/>
      <x:c r="AA152" s="29"/>
      <x:c r="AB152" s="486">
        <x:f t="shared" ref="AB152:AB166" si="171">IF($P152="",0,IF($P152&lt;&gt;0,"재원입력필요",0))</x:f>
        <x:v>0</x:v>
      </x:c>
      <x:c r="AC152" s="487">
        <x:f t="shared" ref="AC152:AC166" si="172">IF($P152="",0,IF(AND(ISNUMBER($AB152),ISNUMBER(AD152),ISNUMBER(AE152)),$P152-$AB152-$AD152-$AE152,0))</x:f>
        <x:v>0</x:v>
      </x:c>
      <x:c r="AD152" s="487">
        <x:f t="shared" ref="AD152:AD166" si="173">IF($P152="",0,IF(COUNT(FIND("(지방채)",$L152))&gt;0,"재원입력필요",0))</x:f>
        <x:v>0</x:v>
      </x:c>
      <x:c r="AE152" s="487">
        <x:f t="shared" ref="AE152:AE166" si="174">IF($P152="",0,IF(COUNT(FIND("(지역개발기금)",$L152))&gt;0,"재원입력필요",0))</x:f>
        <x:v>0</x:v>
      </x:c>
      <x:c r="AF152" s="374" t="str">
        <x:f t="shared" ref="AF152:AF166" si="175">IF($P152="",IF(SUM($AB152:$AE152)=0,"","@@"),IF(AND($P152=SUM($AB152:$AE152),$Q152&gt;=0),"OK","@@"))</x:f>
        <x:v/>
      </x:c>
      <x:c r="AG152" s="93"/>
      <x:c r="AH152" s="488">
        <x:f t="shared" ref="AH152:AH166" si="176">IF($R152="",0,IF($R152&lt;&gt;0,"재원입력필요",0))</x:f>
        <x:v>0</x:v>
      </x:c>
      <x:c r="AI152" s="487">
        <x:f t="shared" ref="AI152:AI166" si="177">IF($R152="",0,IF(AND(ISNUMBER($AH152),ISNUMBER($AJ152),ISNUMBER($AK152)),$R152-$AH152-$AJ152-$AK152,0))</x:f>
        <x:v>0</x:v>
      </x:c>
      <x:c r="AJ152" s="487">
        <x:f t="shared" ref="AJ152:AJ166" si="178">IF($R152="",0,IF(COUNT(FIND("(지방채)",$L152))&gt;0,"재원입력필요",0))</x:f>
        <x:v>0</x:v>
      </x:c>
      <x:c r="AK152" s="487">
        <x:f t="shared" ref="AK152:AK166" si="179">IF($R152="",0,IF(COUNT(FIND("(지역개발기금)",$L152))&gt;0,"재원입력필요",0))</x:f>
        <x:v>0</x:v>
      </x:c>
      <x:c r="AL152" s="374" t="str">
        <x:f t="shared" ref="AL152:AL166" si="180">IF($R152="",IF(SUM($AH152:$AK152)=0,"","@@"),IF(AND($R152=SUM($AH152:$AK152),$S152&gt;=0),"OK","@@"))</x:f>
        <x:v/>
      </x:c>
      <x:c r="AM152" s="92"/>
      <x:c r="AN152" s="221"/>
      <x:c r="AO152" s="374" t="str">
        <x:f>IF($AP152="","",IF($AN152="세입없음","OK",IF(OR($AP152="재원확인",$AN152=""),"@@",IF(COUNTIF('3. 일입'!$AK$8:$AK$2000,$AN152),"OK","@@"))))</x:f>
        <x:v/>
      </x:c>
      <x:c r="AP152" s="356" t="str">
        <x:f t="shared" ref="AP152:AP166" si="181">IF($K152="","",IF(COUNT(FIND("국비/",$K152)),"국비",IF(COUNT(FIND("균특/",$K152)),"균특",IF(COUNT(FIND("기금/",$K152)),"기금",IF(COUNT(FIND("교부세/",$K152)),"특교",IF(COUNT(FIND("소방안전/",$K152)),"소교",IF(COUNT(FIND("소멸대응/",$K152)),"소멸","재원확인")))))))</x:f>
        <x:v/>
      </x:c>
      <x:c r="AQ152" s="374" t="str">
        <x:f>IF(AND($AN152="",$AP152=""),"",IF(AND($AN152&lt;&gt;"",$AP152&lt;&gt;""),IF(AN152="세입없음","OK",IF(VLOOKUP($AN152,'3. 일입'!$AK$7:$AL$2000,2,FALSE)=$AP152,"OK","@@")),"@@"))</x:f>
        <x:v/>
      </x:c>
      <x:c r="AR152" s="93"/>
      <x:c r="AS152" s="533"/>
      <x:c r="AT152" s="374" t="str">
        <x:f>IF($AS152="","",IF($AS152="세입없음","OK",IF(COUNTIF('3. 일입'!$AN$8:$AN$2000,$AS152),"OK","@@")))</x:f>
        <x:v/>
      </x:c>
      <x:c r="AU152" s="356" t="str">
        <x:f t="shared" ref="AU152:AU166" si="182">IF($L152="","",IF(COUNT(FIND("(지역개발기금)",$L152)),"지역개발기금",IF(COUNT(FIND("지방채",$L152)),"지방채","자체")))</x:f>
        <x:v/>
      </x:c>
      <x:c r="AV152" s="374" t="str">
        <x:f t="shared" ref="AV152:AV166" si="183">IF($AS152="",IF($AU152="","",IF($AU152="자체","OK","@@")),IF($AS152="세입없음","OK",IF($AU152="","@@",IF(ISNUMBER(FIND($AU152,$AS152)),"OK","@@"))))</x:f>
        <x:v/>
      </x:c>
      <x:c r="AW152" s="93"/>
      <x:c r="AX152" s="348"/>
      <x:c r="AY152" s="28"/>
    </x:row>
    <x:row r="153" spans="1:51" s="20" customFormat="1" ht="80.099999999999994" customHeight="1">
      <x:c r="A153" s="155" t="str">
        <x:f>IF(D153="","",COUNTA($C$7:C153)-COUNTBLANK($C$7:C153)+10)</x:f>
        <x:v/>
      </x:c>
      <x:c r="B153" s="156" t="str">
        <x: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x:f>
        <x:v/>
      </x:c>
      <x:c r="C153" s="156" t="str">
        <x:f>IF(D153="","",IF(OR(D153="교육지원과",D153="총무과",D153="인사과"),"직접입력",VLOOKUP(D153,구분표!$A$3:$C$258,3,)))</x:f>
        <x:v/>
      </x:c>
      <x:c r="D153" s="219"/>
      <x:c r="E153" s="213"/>
      <x:c r="F153" s="388" t="str">
        <x:f t="shared" ref="F153:G166" si="184">IF($E153="","",IF($E153="2추","직접입력","-"))</x:f>
        <x:v/>
      </x:c>
      <x:c r="G153" s="388" t="str">
        <x:f t="shared" si="184"/>
        <x:v/>
      </x:c>
      <x:c r="H153" s="213"/>
      <x:c r="I153" s="156" t="str">
        <x:f>IF(H153="","",VLOOKUP($H153,구분표!$K$3:$M$151,2,FALSE))</x:f>
        <x:v/>
      </x:c>
      <x:c r="J153" s="156" t="str">
        <x:f>IF(I153="","",VLOOKUP($H153,구분표!$K$3:$M$151,3,FALSE))</x:f>
        <x:v/>
      </x:c>
      <x:c r="K153" s="233"/>
      <x:c r="L153" s="233"/>
      <x:c r="M153" s="459" t="str">
        <x:f t="shared" ref="M153:M166" si="185">IF($E153="","",IF(OR($E153="2추",$E153="1추",$E153="본예산"),"금액입력","-"))</x:f>
        <x:v/>
      </x:c>
      <x:c r="N153" s="459" t="str">
        <x:f t="shared" ref="N153:N166" si="186">IF($E153="","",IF($E153="2추","금액입력","-"))</x:f>
        <x:v/>
      </x:c>
      <x:c r="O153" s="461" t="str">
        <x:f t="shared" si="167"/>
        <x:v/>
      </x:c>
      <x:c r="P153" s="460"/>
      <x:c r="Q153" s="461">
        <x:f t="shared" si="168"/>
        <x:v>0</x:v>
      </x:c>
      <x:c r="R153" s="462"/>
      <x:c r="S153" s="463">
        <x:f t="shared" si="169"/>
        <x:v>0</x:v>
      </x:c>
      <x:c r="T153" s="162" t="str">
        <x:f t="shared" si="170"/>
        <x:v>X</x:v>
      </x:c>
      <x:c r="U153" s="552"/>
      <x:c r="V153" s="331"/>
      <x:c r="W153" s="221"/>
      <x:c r="X153" s="223"/>
      <x:c r="Y153" s="334"/>
      <x:c r="Z153" s="334"/>
      <x:c r="AA153" s="29"/>
      <x:c r="AB153" s="486">
        <x:f t="shared" si="171"/>
        <x:v>0</x:v>
      </x:c>
      <x:c r="AC153" s="487">
        <x:f t="shared" si="172"/>
        <x:v>0</x:v>
      </x:c>
      <x:c r="AD153" s="487">
        <x:f t="shared" si="173"/>
        <x:v>0</x:v>
      </x:c>
      <x:c r="AE153" s="487">
        <x:f t="shared" si="174"/>
        <x:v>0</x:v>
      </x:c>
      <x:c r="AF153" s="374" t="str">
        <x:f t="shared" si="175"/>
        <x:v/>
      </x:c>
      <x:c r="AG153" s="93"/>
      <x:c r="AH153" s="488">
        <x:f t="shared" si="176"/>
        <x:v>0</x:v>
      </x:c>
      <x:c r="AI153" s="487">
        <x:f t="shared" si="177"/>
        <x:v>0</x:v>
      </x:c>
      <x:c r="AJ153" s="487">
        <x:f t="shared" si="178"/>
        <x:v>0</x:v>
      </x:c>
      <x:c r="AK153" s="487">
        <x:f t="shared" si="179"/>
        <x:v>0</x:v>
      </x:c>
      <x:c r="AL153" s="374" t="str">
        <x:f t="shared" si="180"/>
        <x:v/>
      </x:c>
      <x:c r="AM153" s="92"/>
      <x:c r="AN153" s="221"/>
      <x:c r="AO153" s="374" t="str">
        <x:f>IF($AP153="","",IF($AN153="세입없음","OK",IF(OR($AP153="재원확인",$AN153=""),"@@",IF(COUNTIF('3. 일입'!$AK$8:$AK$2000,$AN153),"OK","@@"))))</x:f>
        <x:v/>
      </x:c>
      <x:c r="AP153" s="356" t="str">
        <x:f t="shared" si="181"/>
        <x:v/>
      </x:c>
      <x:c r="AQ153" s="374" t="str">
        <x:f>IF(AND($AN153="",$AP153=""),"",IF(AND($AN153&lt;&gt;"",$AP153&lt;&gt;""),IF(AN153="세입없음","OK",IF(VLOOKUP($AN153,'3. 일입'!$AK$7:$AL$2000,2,FALSE)=$AP153,"OK","@@")),"@@"))</x:f>
        <x:v/>
      </x:c>
      <x:c r="AR153" s="93"/>
      <x:c r="AS153" s="533"/>
      <x:c r="AT153" s="374" t="str">
        <x:f>IF($AS153="","",IF($AS153="세입없음","OK",IF(COUNTIF('3. 일입'!$AN$8:$AN$2000,$AS153),"OK","@@")))</x:f>
        <x:v/>
      </x:c>
      <x:c r="AU153" s="356" t="str">
        <x:f t="shared" si="182"/>
        <x:v/>
      </x:c>
      <x:c r="AV153" s="374" t="str">
        <x:f t="shared" si="183"/>
        <x:v/>
      </x:c>
      <x:c r="AW153" s="93"/>
      <x:c r="AX153" s="348"/>
      <x:c r="AY153" s="29"/>
    </x:row>
    <x:row r="154" spans="1:51" s="20" customFormat="1" ht="80.099999999999994" customHeight="1">
      <x:c r="A154" s="155" t="str">
        <x:f>IF(D154="","",COUNTA($C$7:C154)-COUNTBLANK($C$7:C154)+10)</x:f>
        <x:v/>
      </x:c>
      <x:c r="B154" s="156" t="str">
        <x: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x:f>
        <x:v/>
      </x:c>
      <x:c r="C154" s="156" t="str">
        <x:f>IF(D154="","",IF(OR(D154="교육지원과",D154="총무과",D154="인사과"),"직접입력",VLOOKUP(D154,구분표!$A$3:$C$258,3,)))</x:f>
        <x:v/>
      </x:c>
      <x:c r="D154" s="219"/>
      <x:c r="E154" s="213"/>
      <x:c r="F154" s="388" t="str">
        <x:f t="shared" si="184"/>
        <x:v/>
      </x:c>
      <x:c r="G154" s="388" t="str">
        <x:f t="shared" si="184"/>
        <x:v/>
      </x:c>
      <x:c r="H154" s="213"/>
      <x:c r="I154" s="156" t="str">
        <x:f>IF(H154="","",VLOOKUP($H154,구분표!$K$3:$M$151,2,FALSE))</x:f>
        <x:v/>
      </x:c>
      <x:c r="J154" s="156" t="str">
        <x:f>IF(I154="","",VLOOKUP($H154,구분표!$K$3:$M$151,3,FALSE))</x:f>
        <x:v/>
      </x:c>
      <x:c r="K154" s="233"/>
      <x:c r="L154" s="233"/>
      <x:c r="M154" s="459" t="str">
        <x:f t="shared" si="185"/>
        <x:v/>
      </x:c>
      <x:c r="N154" s="459" t="str">
        <x:f t="shared" si="186"/>
        <x:v/>
      </x:c>
      <x:c r="O154" s="461" t="str">
        <x:f t="shared" si="167"/>
        <x:v/>
      </x:c>
      <x:c r="P154" s="460"/>
      <x:c r="Q154" s="461">
        <x:f t="shared" si="168"/>
        <x:v>0</x:v>
      </x:c>
      <x:c r="R154" s="462"/>
      <x:c r="S154" s="463">
        <x:f t="shared" si="169"/>
        <x:v>0</x:v>
      </x:c>
      <x:c r="T154" s="162" t="str">
        <x:f t="shared" si="170"/>
        <x:v>X</x:v>
      </x:c>
      <x:c r="U154" s="552"/>
      <x:c r="V154" s="331"/>
      <x:c r="W154" s="221"/>
      <x:c r="X154" s="223"/>
      <x:c r="Y154" s="334"/>
      <x:c r="Z154" s="334"/>
      <x:c r="AA154" s="29"/>
      <x:c r="AB154" s="486">
        <x:f t="shared" si="171"/>
        <x:v>0</x:v>
      </x:c>
      <x:c r="AC154" s="487">
        <x:f t="shared" si="172"/>
        <x:v>0</x:v>
      </x:c>
      <x:c r="AD154" s="487">
        <x:f t="shared" si="173"/>
        <x:v>0</x:v>
      </x:c>
      <x:c r="AE154" s="487">
        <x:f t="shared" si="174"/>
        <x:v>0</x:v>
      </x:c>
      <x:c r="AF154" s="374" t="str">
        <x:f t="shared" si="175"/>
        <x:v/>
      </x:c>
      <x:c r="AG154" s="93"/>
      <x:c r="AH154" s="488">
        <x:f t="shared" si="176"/>
        <x:v>0</x:v>
      </x:c>
      <x:c r="AI154" s="487">
        <x:f t="shared" si="177"/>
        <x:v>0</x:v>
      </x:c>
      <x:c r="AJ154" s="487">
        <x:f t="shared" si="178"/>
        <x:v>0</x:v>
      </x:c>
      <x:c r="AK154" s="487">
        <x:f t="shared" si="179"/>
        <x:v>0</x:v>
      </x:c>
      <x:c r="AL154" s="374" t="str">
        <x:f t="shared" si="180"/>
        <x:v/>
      </x:c>
      <x:c r="AM154" s="92"/>
      <x:c r="AN154" s="221"/>
      <x:c r="AO154" s="374" t="str">
        <x:f>IF($AP154="","",IF($AN154="세입없음","OK",IF(OR($AP154="재원확인",$AN154=""),"@@",IF(COUNTIF('3. 일입'!$AK$8:$AK$2000,$AN154),"OK","@@"))))</x:f>
        <x:v/>
      </x:c>
      <x:c r="AP154" s="356" t="str">
        <x:f t="shared" si="181"/>
        <x:v/>
      </x:c>
      <x:c r="AQ154" s="374" t="str">
        <x:f>IF(AND($AN154="",$AP154=""),"",IF(AND($AN154&lt;&gt;"",$AP154&lt;&gt;""),IF(AN154="세입없음","OK",IF(VLOOKUP($AN154,'3. 일입'!$AK$7:$AL$2000,2,FALSE)=$AP154,"OK","@@")),"@@"))</x:f>
        <x:v/>
      </x:c>
      <x:c r="AR154" s="93"/>
      <x:c r="AS154" s="533"/>
      <x:c r="AT154" s="374" t="str">
        <x:f>IF($AS154="","",IF($AS154="세입없음","OK",IF(COUNTIF('3. 일입'!$AN$8:$AN$2000,$AS154),"OK","@@")))</x:f>
        <x:v/>
      </x:c>
      <x:c r="AU154" s="356" t="str">
        <x:f t="shared" si="182"/>
        <x:v/>
      </x:c>
      <x:c r="AV154" s="374" t="str">
        <x:f t="shared" si="183"/>
        <x:v/>
      </x:c>
      <x:c r="AW154" s="93"/>
      <x:c r="AX154" s="348"/>
      <x:c r="AY154" s="29"/>
    </x:row>
    <x:row r="155" spans="1:51" s="20" customFormat="1" ht="80.099999999999994" customHeight="1">
      <x:c r="A155" s="155" t="str">
        <x:f>IF(D155="","",COUNTA($C$7:C155)-COUNTBLANK($C$7:C155)+10)</x:f>
        <x:v/>
      </x:c>
      <x:c r="B155" s="156" t="str">
        <x: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x:f>
        <x:v/>
      </x:c>
      <x:c r="C155" s="156" t="str">
        <x:f>IF(D155="","",IF(OR(D155="교육지원과",D155="총무과",D155="인사과"),"직접입력",VLOOKUP(D155,구분표!$A$3:$C$258,3,)))</x:f>
        <x:v/>
      </x:c>
      <x:c r="D155" s="219"/>
      <x:c r="E155" s="213"/>
      <x:c r="F155" s="388" t="str">
        <x:f t="shared" si="184"/>
        <x:v/>
      </x:c>
      <x:c r="G155" s="388" t="str">
        <x:f t="shared" si="184"/>
        <x:v/>
      </x:c>
      <x:c r="H155" s="213"/>
      <x:c r="I155" s="156" t="str">
        <x:f>IF(H155="","",VLOOKUP($H155,구분표!$K$3:$M$151,2,FALSE))</x:f>
        <x:v/>
      </x:c>
      <x:c r="J155" s="156" t="str">
        <x:f>IF(I155="","",VLOOKUP($H155,구분표!$K$3:$M$151,3,FALSE))</x:f>
        <x:v/>
      </x:c>
      <x:c r="K155" s="233"/>
      <x:c r="L155" s="233"/>
      <x:c r="M155" s="459" t="str">
        <x:f t="shared" si="185"/>
        <x:v/>
      </x:c>
      <x:c r="N155" s="459" t="str">
        <x:f t="shared" si="186"/>
        <x:v/>
      </x:c>
      <x:c r="O155" s="461" t="str">
        <x:f t="shared" si="167"/>
        <x:v/>
      </x:c>
      <x:c r="P155" s="460"/>
      <x:c r="Q155" s="461">
        <x:f t="shared" si="168"/>
        <x:v>0</x:v>
      </x:c>
      <x:c r="R155" s="462"/>
      <x:c r="S155" s="463">
        <x:f t="shared" si="169"/>
        <x:v>0</x:v>
      </x:c>
      <x:c r="T155" s="162" t="str">
        <x:f t="shared" si="170"/>
        <x:v>X</x:v>
      </x:c>
      <x:c r="U155" s="552"/>
      <x:c r="V155" s="331"/>
      <x:c r="W155" s="221"/>
      <x:c r="X155" s="223"/>
      <x:c r="Y155" s="334"/>
      <x:c r="Z155" s="334"/>
      <x:c r="AA155" s="29"/>
      <x:c r="AB155" s="486">
        <x:f t="shared" si="171"/>
        <x:v>0</x:v>
      </x:c>
      <x:c r="AC155" s="487">
        <x:f t="shared" si="172"/>
        <x:v>0</x:v>
      </x:c>
      <x:c r="AD155" s="487">
        <x:f t="shared" si="173"/>
        <x:v>0</x:v>
      </x:c>
      <x:c r="AE155" s="487">
        <x:f t="shared" si="174"/>
        <x:v>0</x:v>
      </x:c>
      <x:c r="AF155" s="374" t="str">
        <x:f t="shared" si="175"/>
        <x:v/>
      </x:c>
      <x:c r="AG155" s="93"/>
      <x:c r="AH155" s="488">
        <x:f t="shared" si="176"/>
        <x:v>0</x:v>
      </x:c>
      <x:c r="AI155" s="487">
        <x:f t="shared" si="177"/>
        <x:v>0</x:v>
      </x:c>
      <x:c r="AJ155" s="487">
        <x:f t="shared" si="178"/>
        <x:v>0</x:v>
      </x:c>
      <x:c r="AK155" s="487">
        <x:f t="shared" si="179"/>
        <x:v>0</x:v>
      </x:c>
      <x:c r="AL155" s="374" t="str">
        <x:f t="shared" si="180"/>
        <x:v/>
      </x:c>
      <x:c r="AM155" s="92"/>
      <x:c r="AN155" s="221"/>
      <x:c r="AO155" s="374" t="str">
        <x:f>IF($AP155="","",IF($AN155="세입없음","OK",IF(OR($AP155="재원확인",$AN155=""),"@@",IF(COUNTIF('3. 일입'!$AK$8:$AK$2000,$AN155),"OK","@@"))))</x:f>
        <x:v/>
      </x:c>
      <x:c r="AP155" s="356" t="str">
        <x:f t="shared" si="181"/>
        <x:v/>
      </x:c>
      <x:c r="AQ155" s="374" t="str">
        <x:f>IF(AND($AN155="",$AP155=""),"",IF(AND($AN155&lt;&gt;"",$AP155&lt;&gt;""),IF(AN155="세입없음","OK",IF(VLOOKUP($AN155,'3. 일입'!$AK$7:$AL$2000,2,FALSE)=$AP155,"OK","@@")),"@@"))</x:f>
        <x:v/>
      </x:c>
      <x:c r="AR155" s="93"/>
      <x:c r="AS155" s="533"/>
      <x:c r="AT155" s="374" t="str">
        <x:f>IF($AS155="","",IF($AS155="세입없음","OK",IF(COUNTIF('3. 일입'!$AN$8:$AN$2000,$AS155),"OK","@@")))</x:f>
        <x:v/>
      </x:c>
      <x:c r="AU155" s="356" t="str">
        <x:f t="shared" si="182"/>
        <x:v/>
      </x:c>
      <x:c r="AV155" s="374" t="str">
        <x:f t="shared" si="183"/>
        <x:v/>
      </x:c>
      <x:c r="AW155" s="93"/>
      <x:c r="AX155" s="348"/>
      <x:c r="AY155" s="29"/>
    </x:row>
    <x:row r="156" spans="1:51" s="20" customFormat="1" ht="80.099999999999994" customHeight="1">
      <x:c r="A156" s="155" t="str">
        <x:f>IF(D156="","",COUNTA($C$7:C156)-COUNTBLANK($C$7:C156)+10)</x:f>
        <x:v/>
      </x:c>
      <x:c r="B156" s="156" t="str">
        <x:f>IF(D156="","",IF(OR(C156="직접입력",D156="북부지원"),"직접입력",IF(OR(AND(D156="인사과",C156="의회사무처"),AND(D156="총무과",C156="의회사무처")),"의회운영위원회",IF(OR(C156="직접입력",D156="북부지원"),"직접입력",IF(OR(AND(D156="인사과",C156="자치행정국"),AND(D156="총무과",C156="자치행정국")),"안전행정위원회",VLOOKUP(D156,구분표!$A$3:$C$258,2,))))))</x:f>
        <x:v/>
      </x:c>
      <x:c r="C156" s="156" t="str">
        <x:f>IF(D156="","",IF(OR(D156="교육지원과",D156="총무과",D156="인사과"),"직접입력",VLOOKUP(D156,구분표!$A$3:$C$258,3,)))</x:f>
        <x:v/>
      </x:c>
      <x:c r="D156" s="219"/>
      <x:c r="E156" s="213"/>
      <x:c r="F156" s="388" t="str">
        <x:f t="shared" si="184"/>
        <x:v/>
      </x:c>
      <x:c r="G156" s="388" t="str">
        <x:f t="shared" si="184"/>
        <x:v/>
      </x:c>
      <x:c r="H156" s="213"/>
      <x:c r="I156" s="156" t="str">
        <x:f>IF(H156="","",VLOOKUP($H156,구분표!$K$3:$M$151,2,FALSE))</x:f>
        <x:v/>
      </x:c>
      <x:c r="J156" s="156" t="str">
        <x:f>IF(I156="","",VLOOKUP($H156,구분표!$K$3:$M$151,3,FALSE))</x:f>
        <x:v/>
      </x:c>
      <x:c r="K156" s="233"/>
      <x:c r="L156" s="233"/>
      <x:c r="M156" s="459" t="str">
        <x:f t="shared" si="185"/>
        <x:v/>
      </x:c>
      <x:c r="N156" s="459" t="str">
        <x:f t="shared" si="186"/>
        <x:v/>
      </x:c>
      <x:c r="O156" s="461" t="str">
        <x:f t="shared" si="167"/>
        <x:v/>
      </x:c>
      <x:c r="P156" s="460"/>
      <x:c r="Q156" s="461">
        <x:f t="shared" si="168"/>
        <x:v>0</x:v>
      </x:c>
      <x:c r="R156" s="462"/>
      <x:c r="S156" s="463">
        <x:f t="shared" si="169"/>
        <x:v>0</x:v>
      </x:c>
      <x:c r="T156" s="162" t="str">
        <x:f t="shared" si="170"/>
        <x:v>X</x:v>
      </x:c>
      <x:c r="U156" s="552"/>
      <x:c r="V156" s="331"/>
      <x:c r="W156" s="221"/>
      <x:c r="X156" s="223"/>
      <x:c r="Y156" s="334"/>
      <x:c r="Z156" s="334"/>
      <x:c r="AA156" s="29"/>
      <x:c r="AB156" s="486">
        <x:f t="shared" si="171"/>
        <x:v>0</x:v>
      </x:c>
      <x:c r="AC156" s="487">
        <x:f t="shared" si="172"/>
        <x:v>0</x:v>
      </x:c>
      <x:c r="AD156" s="487">
        <x:f t="shared" si="173"/>
        <x:v>0</x:v>
      </x:c>
      <x:c r="AE156" s="487">
        <x:f t="shared" si="174"/>
        <x:v>0</x:v>
      </x:c>
      <x:c r="AF156" s="374" t="str">
        <x:f t="shared" si="175"/>
        <x:v/>
      </x:c>
      <x:c r="AG156" s="93"/>
      <x:c r="AH156" s="488">
        <x:f t="shared" si="176"/>
        <x:v>0</x:v>
      </x:c>
      <x:c r="AI156" s="487">
        <x:f t="shared" si="177"/>
        <x:v>0</x:v>
      </x:c>
      <x:c r="AJ156" s="487">
        <x:f t="shared" si="178"/>
        <x:v>0</x:v>
      </x:c>
      <x:c r="AK156" s="487">
        <x:f t="shared" si="179"/>
        <x:v>0</x:v>
      </x:c>
      <x:c r="AL156" s="374" t="str">
        <x:f t="shared" si="180"/>
        <x:v/>
      </x:c>
      <x:c r="AM156" s="92"/>
      <x:c r="AN156" s="221"/>
      <x:c r="AO156" s="374" t="str">
        <x:f>IF($AP156="","",IF($AN156="세입없음","OK",IF(OR($AP156="재원확인",$AN156=""),"@@",IF(COUNTIF('3. 일입'!$AK$8:$AK$2000,$AN156),"OK","@@"))))</x:f>
        <x:v/>
      </x:c>
      <x:c r="AP156" s="356" t="str">
        <x:f t="shared" si="181"/>
        <x:v/>
      </x:c>
      <x:c r="AQ156" s="374" t="str">
        <x:f>IF(AND($AN156="",$AP156=""),"",IF(AND($AN156&lt;&gt;"",$AP156&lt;&gt;""),IF(AN156="세입없음","OK",IF(VLOOKUP($AN156,'3. 일입'!$AK$7:$AL$2000,2,FALSE)=$AP156,"OK","@@")),"@@"))</x:f>
        <x:v/>
      </x:c>
      <x:c r="AR156" s="93"/>
      <x:c r="AS156" s="533"/>
      <x:c r="AT156" s="374" t="str">
        <x:f>IF($AS156="","",IF($AS156="세입없음","OK",IF(COUNTIF('3. 일입'!$AN$8:$AN$2000,$AS156),"OK","@@")))</x:f>
        <x:v/>
      </x:c>
      <x:c r="AU156" s="356" t="str">
        <x:f t="shared" si="182"/>
        <x:v/>
      </x:c>
      <x:c r="AV156" s="374" t="str">
        <x:f t="shared" si="183"/>
        <x:v/>
      </x:c>
      <x:c r="AW156" s="93"/>
      <x:c r="AX156" s="348"/>
      <x:c r="AY156" s="29"/>
    </x:row>
    <x:row r="157" spans="1:51" s="20" customFormat="1" ht="80.099999999999994" customHeight="1">
      <x:c r="A157" s="155" t="str">
        <x:f>IF(D157="","",COUNTA($C$7:C157)-COUNTBLANK($C$7:C157)+10)</x:f>
        <x:v/>
      </x:c>
      <x:c r="B157" s="156" t="str">
        <x: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x:f>
        <x:v/>
      </x:c>
      <x:c r="C157" s="156" t="str">
        <x:f>IF(D157="","",IF(OR(D157="교육지원과",D157="총무과",D157="인사과"),"직접입력",VLOOKUP(D157,구분표!$A$3:$C$258,3,)))</x:f>
        <x:v/>
      </x:c>
      <x:c r="D157" s="219"/>
      <x:c r="E157" s="213"/>
      <x:c r="F157" s="388" t="str">
        <x:f t="shared" si="184"/>
        <x:v/>
      </x:c>
      <x:c r="G157" s="388" t="str">
        <x:f t="shared" si="184"/>
        <x:v/>
      </x:c>
      <x:c r="H157" s="213"/>
      <x:c r="I157" s="156" t="str">
        <x:f>IF(H157="","",VLOOKUP($H157,구분표!$K$3:$M$151,2,FALSE))</x:f>
        <x:v/>
      </x:c>
      <x:c r="J157" s="156" t="str">
        <x:f>IF(I157="","",VLOOKUP($H157,구분표!$K$3:$M$151,3,FALSE))</x:f>
        <x:v/>
      </x:c>
      <x:c r="K157" s="233"/>
      <x:c r="L157" s="233"/>
      <x:c r="M157" s="459" t="str">
        <x:f t="shared" si="185"/>
        <x:v/>
      </x:c>
      <x:c r="N157" s="459" t="str">
        <x:f t="shared" si="186"/>
        <x:v/>
      </x:c>
      <x:c r="O157" s="461" t="str">
        <x:f t="shared" si="167"/>
        <x:v/>
      </x:c>
      <x:c r="P157" s="460"/>
      <x:c r="Q157" s="461">
        <x:f t="shared" si="168"/>
        <x:v>0</x:v>
      </x:c>
      <x:c r="R157" s="462"/>
      <x:c r="S157" s="463">
        <x:f t="shared" si="169"/>
        <x:v>0</x:v>
      </x:c>
      <x:c r="T157" s="162" t="str">
        <x:f t="shared" si="170"/>
        <x:v>X</x:v>
      </x:c>
      <x:c r="U157" s="552"/>
      <x:c r="V157" s="331"/>
      <x:c r="W157" s="221"/>
      <x:c r="X157" s="223"/>
      <x:c r="Y157" s="334"/>
      <x:c r="Z157" s="334"/>
      <x:c r="AA157" s="29"/>
      <x:c r="AB157" s="486">
        <x:f t="shared" si="171"/>
        <x:v>0</x:v>
      </x:c>
      <x:c r="AC157" s="487">
        <x:f t="shared" si="172"/>
        <x:v>0</x:v>
      </x:c>
      <x:c r="AD157" s="487">
        <x:f t="shared" si="173"/>
        <x:v>0</x:v>
      </x:c>
      <x:c r="AE157" s="487">
        <x:f t="shared" si="174"/>
        <x:v>0</x:v>
      </x:c>
      <x:c r="AF157" s="374" t="str">
        <x:f t="shared" si="175"/>
        <x:v/>
      </x:c>
      <x:c r="AG157" s="93"/>
      <x:c r="AH157" s="488">
        <x:f t="shared" si="176"/>
        <x:v>0</x:v>
      </x:c>
      <x:c r="AI157" s="487">
        <x:f t="shared" si="177"/>
        <x:v>0</x:v>
      </x:c>
      <x:c r="AJ157" s="487">
        <x:f t="shared" si="178"/>
        <x:v>0</x:v>
      </x:c>
      <x:c r="AK157" s="487">
        <x:f t="shared" si="179"/>
        <x:v>0</x:v>
      </x:c>
      <x:c r="AL157" s="374" t="str">
        <x:f t="shared" si="180"/>
        <x:v/>
      </x:c>
      <x:c r="AM157" s="92"/>
      <x:c r="AN157" s="221"/>
      <x:c r="AO157" s="374" t="str">
        <x:f>IF($AP157="","",IF($AN157="세입없음","OK",IF(OR($AP157="재원확인",$AN157=""),"@@",IF(COUNTIF('3. 일입'!$AK$8:$AK$2000,$AN157),"OK","@@"))))</x:f>
        <x:v/>
      </x:c>
      <x:c r="AP157" s="356" t="str">
        <x:f t="shared" si="181"/>
        <x:v/>
      </x:c>
      <x:c r="AQ157" s="374" t="str">
        <x:f>IF(AND($AN157="",$AP157=""),"",IF(AND($AN157&lt;&gt;"",$AP157&lt;&gt;""),IF(AN157="세입없음","OK",IF(VLOOKUP($AN157,'3. 일입'!$AK$7:$AL$2000,2,FALSE)=$AP157,"OK","@@")),"@@"))</x:f>
        <x:v/>
      </x:c>
      <x:c r="AR157" s="93"/>
      <x:c r="AS157" s="533"/>
      <x:c r="AT157" s="374" t="str">
        <x:f>IF($AS157="","",IF($AS157="세입없음","OK",IF(COUNTIF('3. 일입'!$AN$8:$AN$2000,$AS157),"OK","@@")))</x:f>
        <x:v/>
      </x:c>
      <x:c r="AU157" s="356" t="str">
        <x:f t="shared" si="182"/>
        <x:v/>
      </x:c>
      <x:c r="AV157" s="374" t="str">
        <x:f t="shared" si="183"/>
        <x:v/>
      </x:c>
      <x:c r="AW157" s="93"/>
      <x:c r="AX157" s="348"/>
      <x:c r="AY157" s="29"/>
    </x:row>
    <x:row r="158" spans="1:51" s="20" customFormat="1" ht="80.099999999999994" customHeight="1">
      <x:c r="A158" s="155" t="str">
        <x:f>IF(D158="","",COUNTA($C$7:C158)-COUNTBLANK($C$7:C158)+10)</x:f>
        <x:v/>
      </x:c>
      <x:c r="B158" s="156" t="str">
        <x: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x:f>
        <x:v/>
      </x:c>
      <x:c r="C158" s="156" t="str">
        <x:f>IF(D158="","",IF(OR(D158="교육지원과",D158="총무과",D158="인사과"),"직접입력",VLOOKUP(D158,구분표!$A$3:$C$258,3,)))</x:f>
        <x:v/>
      </x:c>
      <x:c r="D158" s="219"/>
      <x:c r="E158" s="213"/>
      <x:c r="F158" s="388" t="str">
        <x:f t="shared" si="184"/>
        <x:v/>
      </x:c>
      <x:c r="G158" s="388" t="str">
        <x:f t="shared" si="184"/>
        <x:v/>
      </x:c>
      <x:c r="H158" s="213"/>
      <x:c r="I158" s="156" t="str">
        <x:f>IF(H158="","",VLOOKUP($H158,구분표!$K$3:$M$151,2,FALSE))</x:f>
        <x:v/>
      </x:c>
      <x:c r="J158" s="156" t="str">
        <x:f>IF(I158="","",VLOOKUP($H158,구분표!$K$3:$M$151,3,FALSE))</x:f>
        <x:v/>
      </x:c>
      <x:c r="K158" s="233"/>
      <x:c r="L158" s="233"/>
      <x:c r="M158" s="459" t="str">
        <x:f t="shared" si="185"/>
        <x:v/>
      </x:c>
      <x:c r="N158" s="459" t="str">
        <x:f t="shared" si="186"/>
        <x:v/>
      </x:c>
      <x:c r="O158" s="461" t="str">
        <x:f t="shared" si="167"/>
        <x:v/>
      </x:c>
      <x:c r="P158" s="460"/>
      <x:c r="Q158" s="461">
        <x:f t="shared" si="168"/>
        <x:v>0</x:v>
      </x:c>
      <x:c r="R158" s="462"/>
      <x:c r="S158" s="463">
        <x:f t="shared" si="169"/>
        <x:v>0</x:v>
      </x:c>
      <x:c r="T158" s="162" t="str">
        <x:f t="shared" si="170"/>
        <x:v>X</x:v>
      </x:c>
      <x:c r="U158" s="552"/>
      <x:c r="V158" s="331"/>
      <x:c r="W158" s="221"/>
      <x:c r="X158" s="223"/>
      <x:c r="Y158" s="334"/>
      <x:c r="Z158" s="334"/>
      <x:c r="AA158" s="29"/>
      <x:c r="AB158" s="486">
        <x:f t="shared" si="171"/>
        <x:v>0</x:v>
      </x:c>
      <x:c r="AC158" s="487">
        <x:f t="shared" si="172"/>
        <x:v>0</x:v>
      </x:c>
      <x:c r="AD158" s="487">
        <x:f t="shared" si="173"/>
        <x:v>0</x:v>
      </x:c>
      <x:c r="AE158" s="487">
        <x:f t="shared" si="174"/>
        <x:v>0</x:v>
      </x:c>
      <x:c r="AF158" s="374" t="str">
        <x:f t="shared" si="175"/>
        <x:v/>
      </x:c>
      <x:c r="AG158" s="93"/>
      <x:c r="AH158" s="488">
        <x:f t="shared" si="176"/>
        <x:v>0</x:v>
      </x:c>
      <x:c r="AI158" s="487">
        <x:f t="shared" si="177"/>
        <x:v>0</x:v>
      </x:c>
      <x:c r="AJ158" s="487">
        <x:f t="shared" si="178"/>
        <x:v>0</x:v>
      </x:c>
      <x:c r="AK158" s="487">
        <x:f t="shared" si="179"/>
        <x:v>0</x:v>
      </x:c>
      <x:c r="AL158" s="374" t="str">
        <x:f t="shared" si="180"/>
        <x:v/>
      </x:c>
      <x:c r="AM158" s="92"/>
      <x:c r="AN158" s="221"/>
      <x:c r="AO158" s="374" t="str">
        <x:f>IF($AP158="","",IF($AN158="세입없음","OK",IF(OR($AP158="재원확인",$AN158=""),"@@",IF(COUNTIF('3. 일입'!$AK$8:$AK$2000,$AN158),"OK","@@"))))</x:f>
        <x:v/>
      </x:c>
      <x:c r="AP158" s="356" t="str">
        <x:f t="shared" si="181"/>
        <x:v/>
      </x:c>
      <x:c r="AQ158" s="374" t="str">
        <x:f>IF(AND($AN158="",$AP158=""),"",IF(AND($AN158&lt;&gt;"",$AP158&lt;&gt;""),IF(AN158="세입없음","OK",IF(VLOOKUP($AN158,'3. 일입'!$AK$7:$AL$2000,2,FALSE)=$AP158,"OK","@@")),"@@"))</x:f>
        <x:v/>
      </x:c>
      <x:c r="AR158" s="93"/>
      <x:c r="AS158" s="533"/>
      <x:c r="AT158" s="374" t="str">
        <x:f>IF($AS158="","",IF($AS158="세입없음","OK",IF(COUNTIF('3. 일입'!$AN$8:$AN$2000,$AS158),"OK","@@")))</x:f>
        <x:v/>
      </x:c>
      <x:c r="AU158" s="356" t="str">
        <x:f t="shared" si="182"/>
        <x:v/>
      </x:c>
      <x:c r="AV158" s="374" t="str">
        <x:f t="shared" si="183"/>
        <x:v/>
      </x:c>
      <x:c r="AW158" s="93"/>
      <x:c r="AX158" s="348"/>
      <x:c r="AY158" s="29"/>
    </x:row>
    <x:row r="159" spans="1:51" s="20" customFormat="1" ht="80.099999999999994" customHeight="1">
      <x:c r="A159" s="155" t="str">
        <x:f>IF(D159="","",COUNTA($C$7:C159)-COUNTBLANK($C$7:C159)+10)</x:f>
        <x:v/>
      </x:c>
      <x:c r="B159" s="156" t="str">
        <x: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x:f>
        <x:v/>
      </x:c>
      <x:c r="C159" s="156" t="str">
        <x:f>IF(D159="","",IF(OR(D159="교육지원과",D159="총무과",D159="인사과"),"직접입력",VLOOKUP(D159,구분표!$A$3:$C$258,3,)))</x:f>
        <x:v/>
      </x:c>
      <x:c r="D159" s="219"/>
      <x:c r="E159" s="213"/>
      <x:c r="F159" s="388" t="str">
        <x:f t="shared" si="184"/>
        <x:v/>
      </x:c>
      <x:c r="G159" s="388" t="str">
        <x:f t="shared" si="184"/>
        <x:v/>
      </x:c>
      <x:c r="H159" s="213"/>
      <x:c r="I159" s="156" t="str">
        <x:f>IF(H159="","",VLOOKUP($H159,구분표!$K$3:$M$151,2,FALSE))</x:f>
        <x:v/>
      </x:c>
      <x:c r="J159" s="156" t="str">
        <x:f>IF(I159="","",VLOOKUP($H159,구분표!$K$3:$M$151,3,FALSE))</x:f>
        <x:v/>
      </x:c>
      <x:c r="K159" s="233"/>
      <x:c r="L159" s="233"/>
      <x:c r="M159" s="459" t="str">
        <x:f t="shared" si="185"/>
        <x:v/>
      </x:c>
      <x:c r="N159" s="459" t="str">
        <x:f t="shared" si="186"/>
        <x:v/>
      </x:c>
      <x:c r="O159" s="461" t="str">
        <x:f t="shared" si="167"/>
        <x:v/>
      </x:c>
      <x:c r="P159" s="460"/>
      <x:c r="Q159" s="461">
        <x:f t="shared" si="168"/>
        <x:v>0</x:v>
      </x:c>
      <x:c r="R159" s="462"/>
      <x:c r="S159" s="463">
        <x:f t="shared" si="169"/>
        <x:v>0</x:v>
      </x:c>
      <x:c r="T159" s="162" t="str">
        <x:f t="shared" si="170"/>
        <x:v>X</x:v>
      </x:c>
      <x:c r="U159" s="552"/>
      <x:c r="V159" s="331"/>
      <x:c r="W159" s="221"/>
      <x:c r="X159" s="223"/>
      <x:c r="Y159" s="334"/>
      <x:c r="Z159" s="334"/>
      <x:c r="AA159" s="29"/>
      <x:c r="AB159" s="486">
        <x:f t="shared" si="171"/>
        <x:v>0</x:v>
      </x:c>
      <x:c r="AC159" s="487">
        <x:f t="shared" si="172"/>
        <x:v>0</x:v>
      </x:c>
      <x:c r="AD159" s="487">
        <x:f t="shared" si="173"/>
        <x:v>0</x:v>
      </x:c>
      <x:c r="AE159" s="487">
        <x:f t="shared" si="174"/>
        <x:v>0</x:v>
      </x:c>
      <x:c r="AF159" s="374" t="str">
        <x:f t="shared" si="175"/>
        <x:v/>
      </x:c>
      <x:c r="AG159" s="93"/>
      <x:c r="AH159" s="488">
        <x:f t="shared" si="176"/>
        <x:v>0</x:v>
      </x:c>
      <x:c r="AI159" s="487">
        <x:f t="shared" si="177"/>
        <x:v>0</x:v>
      </x:c>
      <x:c r="AJ159" s="487">
        <x:f t="shared" si="178"/>
        <x:v>0</x:v>
      </x:c>
      <x:c r="AK159" s="487">
        <x:f t="shared" si="179"/>
        <x:v>0</x:v>
      </x:c>
      <x:c r="AL159" s="374" t="str">
        <x:f t="shared" si="180"/>
        <x:v/>
      </x:c>
      <x:c r="AM159" s="92"/>
      <x:c r="AN159" s="221"/>
      <x:c r="AO159" s="374" t="str">
        <x:f>IF($AP159="","",IF($AN159="세입없음","OK",IF(OR($AP159="재원확인",$AN159=""),"@@",IF(COUNTIF('3. 일입'!$AK$8:$AK$2000,$AN159),"OK","@@"))))</x:f>
        <x:v/>
      </x:c>
      <x:c r="AP159" s="356" t="str">
        <x:f t="shared" si="181"/>
        <x:v/>
      </x:c>
      <x:c r="AQ159" s="374" t="str">
        <x:f>IF(AND($AN159="",$AP159=""),"",IF(AND($AN159&lt;&gt;"",$AP159&lt;&gt;""),IF(AN159="세입없음","OK",IF(VLOOKUP($AN159,'3. 일입'!$AK$7:$AL$2000,2,FALSE)=$AP159,"OK","@@")),"@@"))</x:f>
        <x:v/>
      </x:c>
      <x:c r="AR159" s="93"/>
      <x:c r="AS159" s="533"/>
      <x:c r="AT159" s="374" t="str">
        <x:f>IF($AS159="","",IF($AS159="세입없음","OK",IF(COUNTIF('3. 일입'!$AN$8:$AN$2000,$AS159),"OK","@@")))</x:f>
        <x:v/>
      </x:c>
      <x:c r="AU159" s="356" t="str">
        <x:f t="shared" si="182"/>
        <x:v/>
      </x:c>
      <x:c r="AV159" s="374" t="str">
        <x:f t="shared" si="183"/>
        <x:v/>
      </x:c>
      <x:c r="AW159" s="93"/>
      <x:c r="AX159" s="348"/>
      <x:c r="AY159" s="29"/>
    </x:row>
    <x:row r="160" spans="1:51" s="20" customFormat="1" ht="80.099999999999994" customHeight="1">
      <x:c r="A160" s="155" t="str">
        <x:f>IF(D160="","",COUNTA($C$7:C160)-COUNTBLANK($C$7:C160)+10)</x:f>
        <x:v/>
      </x:c>
      <x:c r="B160" s="156" t="str">
        <x: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x:f>
        <x:v/>
      </x:c>
      <x:c r="C160" s="156" t="str">
        <x:f>IF(D160="","",IF(OR(D160="교육지원과",D160="총무과",D160="인사과"),"직접입력",VLOOKUP(D160,구분표!$A$3:$C$258,3,)))</x:f>
        <x:v/>
      </x:c>
      <x:c r="D160" s="219"/>
      <x:c r="E160" s="213"/>
      <x:c r="F160" s="388" t="str">
        <x:f t="shared" si="184"/>
        <x:v/>
      </x:c>
      <x:c r="G160" s="388" t="str">
        <x:f t="shared" si="184"/>
        <x:v/>
      </x:c>
      <x:c r="H160" s="213"/>
      <x:c r="I160" s="156" t="str">
        <x:f>IF(H160="","",VLOOKUP($H160,구분표!$K$3:$M$151,2,FALSE))</x:f>
        <x:v/>
      </x:c>
      <x:c r="J160" s="156" t="str">
        <x:f>IF(I160="","",VLOOKUP($H160,구분표!$K$3:$M$151,3,FALSE))</x:f>
        <x:v/>
      </x:c>
      <x:c r="K160" s="233"/>
      <x:c r="L160" s="233"/>
      <x:c r="M160" s="459" t="str">
        <x:f t="shared" si="185"/>
        <x:v/>
      </x:c>
      <x:c r="N160" s="459" t="str">
        <x:f t="shared" si="186"/>
        <x:v/>
      </x:c>
      <x:c r="O160" s="461" t="str">
        <x:f t="shared" si="167"/>
        <x:v/>
      </x:c>
      <x:c r="P160" s="460"/>
      <x:c r="Q160" s="461">
        <x:f t="shared" si="168"/>
        <x:v>0</x:v>
      </x:c>
      <x:c r="R160" s="462"/>
      <x:c r="S160" s="463">
        <x:f t="shared" si="169"/>
        <x:v>0</x:v>
      </x:c>
      <x:c r="T160" s="162" t="str">
        <x:f t="shared" si="170"/>
        <x:v>X</x:v>
      </x:c>
      <x:c r="U160" s="552"/>
      <x:c r="V160" s="331"/>
      <x:c r="W160" s="221"/>
      <x:c r="X160" s="223"/>
      <x:c r="Y160" s="334"/>
      <x:c r="Z160" s="334"/>
      <x:c r="AA160" s="29"/>
      <x:c r="AB160" s="486">
        <x:f t="shared" si="171"/>
        <x:v>0</x:v>
      </x:c>
      <x:c r="AC160" s="487">
        <x:f t="shared" si="172"/>
        <x:v>0</x:v>
      </x:c>
      <x:c r="AD160" s="487">
        <x:f t="shared" si="173"/>
        <x:v>0</x:v>
      </x:c>
      <x:c r="AE160" s="487">
        <x:f t="shared" si="174"/>
        <x:v>0</x:v>
      </x:c>
      <x:c r="AF160" s="374" t="str">
        <x:f t="shared" si="175"/>
        <x:v/>
      </x:c>
      <x:c r="AG160" s="93"/>
      <x:c r="AH160" s="488">
        <x:f t="shared" si="176"/>
        <x:v>0</x:v>
      </x:c>
      <x:c r="AI160" s="487">
        <x:f t="shared" si="177"/>
        <x:v>0</x:v>
      </x:c>
      <x:c r="AJ160" s="487">
        <x:f t="shared" si="178"/>
        <x:v>0</x:v>
      </x:c>
      <x:c r="AK160" s="487">
        <x:f t="shared" si="179"/>
        <x:v>0</x:v>
      </x:c>
      <x:c r="AL160" s="374" t="str">
        <x:f t="shared" si="180"/>
        <x:v/>
      </x:c>
      <x:c r="AM160" s="92"/>
      <x:c r="AN160" s="221"/>
      <x:c r="AO160" s="374" t="str">
        <x:f>IF($AP160="","",IF($AN160="세입없음","OK",IF(OR($AP160="재원확인",$AN160=""),"@@",IF(COUNTIF('3. 일입'!$AK$8:$AK$2000,$AN160),"OK","@@"))))</x:f>
        <x:v/>
      </x:c>
      <x:c r="AP160" s="356" t="str">
        <x:f t="shared" si="181"/>
        <x:v/>
      </x:c>
      <x:c r="AQ160" s="374" t="str">
        <x:f>IF(AND($AN160="",$AP160=""),"",IF(AND($AN160&lt;&gt;"",$AP160&lt;&gt;""),IF(AN160="세입없음","OK",IF(VLOOKUP($AN160,'3. 일입'!$AK$7:$AL$2000,2,FALSE)=$AP160,"OK","@@")),"@@"))</x:f>
        <x:v/>
      </x:c>
      <x:c r="AR160" s="93"/>
      <x:c r="AS160" s="533"/>
      <x:c r="AT160" s="374" t="str">
        <x:f>IF($AS160="","",IF($AS160="세입없음","OK",IF(COUNTIF('3. 일입'!$AN$8:$AN$2000,$AS160),"OK","@@")))</x:f>
        <x:v/>
      </x:c>
      <x:c r="AU160" s="356" t="str">
        <x:f t="shared" si="182"/>
        <x:v/>
      </x:c>
      <x:c r="AV160" s="374" t="str">
        <x:f t="shared" si="183"/>
        <x:v/>
      </x:c>
      <x:c r="AW160" s="93"/>
      <x:c r="AX160" s="348"/>
      <x:c r="AY160" s="29"/>
    </x:row>
    <x:row r="161" spans="1:51" s="20" customFormat="1" ht="80.099999999999994" customHeight="1">
      <x:c r="A161" s="155" t="str">
        <x:f>IF(D161="","",COUNTA($C$7:C161)-COUNTBLANK($C$7:C161)+10)</x:f>
        <x:v/>
      </x:c>
      <x:c r="B161" s="156" t="str">
        <x: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x:f>
        <x:v/>
      </x:c>
      <x:c r="C161" s="156" t="str">
        <x:f>IF(D161="","",IF(OR(D161="교육지원과",D161="총무과",D161="인사과"),"직접입력",VLOOKUP(D161,구분표!$A$3:$C$258,3,)))</x:f>
        <x:v/>
      </x:c>
      <x:c r="D161" s="219"/>
      <x:c r="E161" s="213"/>
      <x:c r="F161" s="388" t="str">
        <x:f t="shared" si="184"/>
        <x:v/>
      </x:c>
      <x:c r="G161" s="388" t="str">
        <x:f t="shared" si="184"/>
        <x:v/>
      </x:c>
      <x:c r="H161" s="213"/>
      <x:c r="I161" s="156" t="str">
        <x:f>IF(H161="","",VLOOKUP($H161,구분표!$K$3:$M$151,2,FALSE))</x:f>
        <x:v/>
      </x:c>
      <x:c r="J161" s="156" t="str">
        <x:f>IF(I161="","",VLOOKUP($H161,구분표!$K$3:$M$151,3,FALSE))</x:f>
        <x:v/>
      </x:c>
      <x:c r="K161" s="233"/>
      <x:c r="L161" s="233"/>
      <x:c r="M161" s="459" t="str">
        <x:f t="shared" si="185"/>
        <x:v/>
      </x:c>
      <x:c r="N161" s="459" t="str">
        <x:f t="shared" si="186"/>
        <x:v/>
      </x:c>
      <x:c r="O161" s="461" t="str">
        <x:f t="shared" si="167"/>
        <x:v/>
      </x:c>
      <x:c r="P161" s="460"/>
      <x:c r="Q161" s="461">
        <x:f t="shared" si="168"/>
        <x:v>0</x:v>
      </x:c>
      <x:c r="R161" s="462"/>
      <x:c r="S161" s="463">
        <x:f t="shared" si="169"/>
        <x:v>0</x:v>
      </x:c>
      <x:c r="T161" s="162" t="str">
        <x:f t="shared" si="170"/>
        <x:v>X</x:v>
      </x:c>
      <x:c r="U161" s="552"/>
      <x:c r="V161" s="331"/>
      <x:c r="W161" s="221"/>
      <x:c r="X161" s="223"/>
      <x:c r="Y161" s="334"/>
      <x:c r="Z161" s="334"/>
      <x:c r="AA161" s="29"/>
      <x:c r="AB161" s="486">
        <x:f t="shared" si="171"/>
        <x:v>0</x:v>
      </x:c>
      <x:c r="AC161" s="487">
        <x:f t="shared" si="172"/>
        <x:v>0</x:v>
      </x:c>
      <x:c r="AD161" s="487">
        <x:f t="shared" si="173"/>
        <x:v>0</x:v>
      </x:c>
      <x:c r="AE161" s="487">
        <x:f t="shared" si="174"/>
        <x:v>0</x:v>
      </x:c>
      <x:c r="AF161" s="374" t="str">
        <x:f t="shared" si="175"/>
        <x:v/>
      </x:c>
      <x:c r="AG161" s="93"/>
      <x:c r="AH161" s="488">
        <x:f t="shared" si="176"/>
        <x:v>0</x:v>
      </x:c>
      <x:c r="AI161" s="487">
        <x:f t="shared" si="177"/>
        <x:v>0</x:v>
      </x:c>
      <x:c r="AJ161" s="487">
        <x:f t="shared" si="178"/>
        <x:v>0</x:v>
      </x:c>
      <x:c r="AK161" s="487">
        <x:f t="shared" si="179"/>
        <x:v>0</x:v>
      </x:c>
      <x:c r="AL161" s="374" t="str">
        <x:f t="shared" si="180"/>
        <x:v/>
      </x:c>
      <x:c r="AM161" s="92"/>
      <x:c r="AN161" s="221"/>
      <x:c r="AO161" s="374" t="str">
        <x:f>IF($AP161="","",IF($AN161="세입없음","OK",IF(OR($AP161="재원확인",$AN161=""),"@@",IF(COUNTIF('3. 일입'!$AK$8:$AK$2000,$AN161),"OK","@@"))))</x:f>
        <x:v/>
      </x:c>
      <x:c r="AP161" s="356" t="str">
        <x:f t="shared" si="181"/>
        <x:v/>
      </x:c>
      <x:c r="AQ161" s="374" t="str">
        <x:f>IF(AND($AN161="",$AP161=""),"",IF(AND($AN161&lt;&gt;"",$AP161&lt;&gt;""),IF(AN161="세입없음","OK",IF(VLOOKUP($AN161,'3. 일입'!$AK$7:$AL$2000,2,FALSE)=$AP161,"OK","@@")),"@@"))</x:f>
        <x:v/>
      </x:c>
      <x:c r="AR161" s="93"/>
      <x:c r="AS161" s="533"/>
      <x:c r="AT161" s="374" t="str">
        <x:f>IF($AS161="","",IF($AS161="세입없음","OK",IF(COUNTIF('3. 일입'!$AN$8:$AN$2000,$AS161),"OK","@@")))</x:f>
        <x:v/>
      </x:c>
      <x:c r="AU161" s="356" t="str">
        <x:f t="shared" si="182"/>
        <x:v/>
      </x:c>
      <x:c r="AV161" s="374" t="str">
        <x:f t="shared" si="183"/>
        <x:v/>
      </x:c>
      <x:c r="AW161" s="93"/>
      <x:c r="AX161" s="348"/>
      <x:c r="AY161" s="29"/>
    </x:row>
    <x:row r="162" spans="1:51" s="20" customFormat="1" ht="80.099999999999994" customHeight="1">
      <x:c r="A162" s="155" t="str">
        <x:f>IF(D162="","",COUNTA($C$7:C162)-COUNTBLANK($C$7:C162)+10)</x:f>
        <x:v/>
      </x:c>
      <x:c r="B162" s="156" t="str">
        <x: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x:f>
        <x:v/>
      </x:c>
      <x:c r="C162" s="156" t="str">
        <x:f>IF(D162="","",IF(OR(D162="교육지원과",D162="총무과",D162="인사과"),"직접입력",VLOOKUP(D162,구분표!$A$3:$C$258,3,)))</x:f>
        <x:v/>
      </x:c>
      <x:c r="D162" s="219"/>
      <x:c r="E162" s="213"/>
      <x:c r="F162" s="388" t="str">
        <x:f t="shared" si="184"/>
        <x:v/>
      </x:c>
      <x:c r="G162" s="388" t="str">
        <x:f t="shared" si="184"/>
        <x:v/>
      </x:c>
      <x:c r="H162" s="213"/>
      <x:c r="I162" s="156" t="str">
        <x:f>IF(H162="","",VLOOKUP($H162,구분표!$K$3:$M$151,2,FALSE))</x:f>
        <x:v/>
      </x:c>
      <x:c r="J162" s="156" t="str">
        <x:f>IF(I162="","",VLOOKUP($H162,구분표!$K$3:$M$151,3,FALSE))</x:f>
        <x:v/>
      </x:c>
      <x:c r="K162" s="233"/>
      <x:c r="L162" s="233"/>
      <x:c r="M162" s="459" t="str">
        <x:f t="shared" si="185"/>
        <x:v/>
      </x:c>
      <x:c r="N162" s="459" t="str">
        <x:f t="shared" si="186"/>
        <x:v/>
      </x:c>
      <x:c r="O162" s="461" t="str">
        <x:f t="shared" si="167"/>
        <x:v/>
      </x:c>
      <x:c r="P162" s="460"/>
      <x:c r="Q162" s="461">
        <x:f t="shared" si="168"/>
        <x:v>0</x:v>
      </x:c>
      <x:c r="R162" s="462"/>
      <x:c r="S162" s="463">
        <x:f t="shared" si="169"/>
        <x:v>0</x:v>
      </x:c>
      <x:c r="T162" s="162" t="str">
        <x:f t="shared" si="170"/>
        <x:v>X</x:v>
      </x:c>
      <x:c r="U162" s="552"/>
      <x:c r="V162" s="331"/>
      <x:c r="W162" s="221"/>
      <x:c r="X162" s="223"/>
      <x:c r="Y162" s="334"/>
      <x:c r="Z162" s="334"/>
      <x:c r="AA162" s="29"/>
      <x:c r="AB162" s="486">
        <x:f t="shared" si="171"/>
        <x:v>0</x:v>
      </x:c>
      <x:c r="AC162" s="487">
        <x:f t="shared" si="172"/>
        <x:v>0</x:v>
      </x:c>
      <x:c r="AD162" s="487">
        <x:f t="shared" si="173"/>
        <x:v>0</x:v>
      </x:c>
      <x:c r="AE162" s="487">
        <x:f t="shared" si="174"/>
        <x:v>0</x:v>
      </x:c>
      <x:c r="AF162" s="374" t="str">
        <x:f t="shared" si="175"/>
        <x:v/>
      </x:c>
      <x:c r="AG162" s="93"/>
      <x:c r="AH162" s="488">
        <x:f t="shared" si="176"/>
        <x:v>0</x:v>
      </x:c>
      <x:c r="AI162" s="487">
        <x:f t="shared" si="177"/>
        <x:v>0</x:v>
      </x:c>
      <x:c r="AJ162" s="487">
        <x:f t="shared" si="178"/>
        <x:v>0</x:v>
      </x:c>
      <x:c r="AK162" s="487">
        <x:f t="shared" si="179"/>
        <x:v>0</x:v>
      </x:c>
      <x:c r="AL162" s="374" t="str">
        <x:f t="shared" si="180"/>
        <x:v/>
      </x:c>
      <x:c r="AM162" s="92"/>
      <x:c r="AN162" s="221"/>
      <x:c r="AO162" s="374" t="str">
        <x:f>IF($AP162="","",IF($AN162="세입없음","OK",IF(OR($AP162="재원확인",$AN162=""),"@@",IF(COUNTIF('3. 일입'!$AK$8:$AK$2000,$AN162),"OK","@@"))))</x:f>
        <x:v/>
      </x:c>
      <x:c r="AP162" s="356" t="str">
        <x:f t="shared" si="181"/>
        <x:v/>
      </x:c>
      <x:c r="AQ162" s="374" t="str">
        <x:f>IF(AND($AN162="",$AP162=""),"",IF(AND($AN162&lt;&gt;"",$AP162&lt;&gt;""),IF(AN162="세입없음","OK",IF(VLOOKUP($AN162,'3. 일입'!$AK$7:$AL$2000,2,FALSE)=$AP162,"OK","@@")),"@@"))</x:f>
        <x:v/>
      </x:c>
      <x:c r="AR162" s="93"/>
      <x:c r="AS162" s="533"/>
      <x:c r="AT162" s="374" t="str">
        <x:f>IF($AS162="","",IF($AS162="세입없음","OK",IF(COUNTIF('3. 일입'!$AN$8:$AN$2000,$AS162),"OK","@@")))</x:f>
        <x:v/>
      </x:c>
      <x:c r="AU162" s="356" t="str">
        <x:f t="shared" si="182"/>
        <x:v/>
      </x:c>
      <x:c r="AV162" s="374" t="str">
        <x:f t="shared" si="183"/>
        <x:v/>
      </x:c>
      <x:c r="AW162" s="93"/>
      <x:c r="AX162" s="348"/>
      <x:c r="AY162" s="29"/>
    </x:row>
    <x:row r="163" spans="1:51" s="20" customFormat="1" ht="80.099999999999994" customHeight="1">
      <x:c r="A163" s="155" t="str">
        <x:f>IF(D163="","",COUNTA($C$7:C163)-COUNTBLANK($C$7:C163)+10)</x:f>
        <x:v/>
      </x:c>
      <x:c r="B163" s="156" t="str">
        <x: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x:f>
        <x:v/>
      </x:c>
      <x:c r="C163" s="156" t="str">
        <x:f>IF(D163="","",IF(OR(D163="교육지원과",D163="총무과",D163="인사과"),"직접입력",VLOOKUP(D163,구분표!$A$3:$C$258,3,)))</x:f>
        <x:v/>
      </x:c>
      <x:c r="D163" s="219"/>
      <x:c r="E163" s="213"/>
      <x:c r="F163" s="388" t="str">
        <x:f t="shared" si="184"/>
        <x:v/>
      </x:c>
      <x:c r="G163" s="388" t="str">
        <x:f t="shared" si="184"/>
        <x:v/>
      </x:c>
      <x:c r="H163" s="213"/>
      <x:c r="I163" s="156" t="str">
        <x:f>IF(H163="","",VLOOKUP($H163,구분표!$K$3:$M$151,2,FALSE))</x:f>
        <x:v/>
      </x:c>
      <x:c r="J163" s="156" t="str">
        <x:f>IF(I163="","",VLOOKUP($H163,구분표!$K$3:$M$151,3,FALSE))</x:f>
        <x:v/>
      </x:c>
      <x:c r="K163" s="233"/>
      <x:c r="L163" s="233"/>
      <x:c r="M163" s="459" t="str">
        <x:f t="shared" si="185"/>
        <x:v/>
      </x:c>
      <x:c r="N163" s="459" t="str">
        <x:f t="shared" si="186"/>
        <x:v/>
      </x:c>
      <x:c r="O163" s="461" t="str">
        <x:f t="shared" si="167"/>
        <x:v/>
      </x:c>
      <x:c r="P163" s="460"/>
      <x:c r="Q163" s="461">
        <x:f t="shared" si="168"/>
        <x:v>0</x:v>
      </x:c>
      <x:c r="R163" s="462"/>
      <x:c r="S163" s="463">
        <x:f t="shared" si="169"/>
        <x:v>0</x:v>
      </x:c>
      <x:c r="T163" s="162" t="str">
        <x:f t="shared" si="170"/>
        <x:v>X</x:v>
      </x:c>
      <x:c r="U163" s="552"/>
      <x:c r="V163" s="331"/>
      <x:c r="W163" s="221"/>
      <x:c r="X163" s="223"/>
      <x:c r="Y163" s="334"/>
      <x:c r="Z163" s="334"/>
      <x:c r="AA163" s="29"/>
      <x:c r="AB163" s="486">
        <x:f t="shared" si="171"/>
        <x:v>0</x:v>
      </x:c>
      <x:c r="AC163" s="487">
        <x:f t="shared" si="172"/>
        <x:v>0</x:v>
      </x:c>
      <x:c r="AD163" s="487">
        <x:f t="shared" si="173"/>
        <x:v>0</x:v>
      </x:c>
      <x:c r="AE163" s="487">
        <x:f t="shared" si="174"/>
        <x:v>0</x:v>
      </x:c>
      <x:c r="AF163" s="374" t="str">
        <x:f t="shared" si="175"/>
        <x:v/>
      </x:c>
      <x:c r="AG163" s="93"/>
      <x:c r="AH163" s="488">
        <x:f t="shared" si="176"/>
        <x:v>0</x:v>
      </x:c>
      <x:c r="AI163" s="487">
        <x:f t="shared" si="177"/>
        <x:v>0</x:v>
      </x:c>
      <x:c r="AJ163" s="487">
        <x:f t="shared" si="178"/>
        <x:v>0</x:v>
      </x:c>
      <x:c r="AK163" s="487">
        <x:f t="shared" si="179"/>
        <x:v>0</x:v>
      </x:c>
      <x:c r="AL163" s="374" t="str">
        <x:f t="shared" si="180"/>
        <x:v/>
      </x:c>
      <x:c r="AM163" s="92"/>
      <x:c r="AN163" s="221"/>
      <x:c r="AO163" s="374" t="str">
        <x:f>IF($AP163="","",IF($AN163="세입없음","OK",IF(OR($AP163="재원확인",$AN163=""),"@@",IF(COUNTIF('3. 일입'!$AK$8:$AK$2000,$AN163),"OK","@@"))))</x:f>
        <x:v/>
      </x:c>
      <x:c r="AP163" s="356" t="str">
        <x:f t="shared" si="181"/>
        <x:v/>
      </x:c>
      <x:c r="AQ163" s="374" t="str">
        <x:f>IF(AND($AN163="",$AP163=""),"",IF(AND($AN163&lt;&gt;"",$AP163&lt;&gt;""),IF(AN163="세입없음","OK",IF(VLOOKUP($AN163,'3. 일입'!$AK$7:$AL$2000,2,FALSE)=$AP163,"OK","@@")),"@@"))</x:f>
        <x:v/>
      </x:c>
      <x:c r="AR163" s="93"/>
      <x:c r="AS163" s="533"/>
      <x:c r="AT163" s="374" t="str">
        <x:f>IF($AS163="","",IF($AS163="세입없음","OK",IF(COUNTIF('3. 일입'!$AN$8:$AN$2000,$AS163),"OK","@@")))</x:f>
        <x:v/>
      </x:c>
      <x:c r="AU163" s="356" t="str">
        <x:f t="shared" si="182"/>
        <x:v/>
      </x:c>
      <x:c r="AV163" s="374" t="str">
        <x:f t="shared" si="183"/>
        <x:v/>
      </x:c>
      <x:c r="AW163" s="93"/>
      <x:c r="AX163" s="348"/>
      <x:c r="AY163" s="29"/>
    </x:row>
    <x:row r="164" spans="1:51" s="20" customFormat="1" ht="80.099999999999994" customHeight="1">
      <x:c r="A164" s="155" t="str">
        <x:f>IF(D164="","",COUNTA($C$7:C164)-COUNTBLANK($C$7:C164)+10)</x:f>
        <x:v/>
      </x:c>
      <x:c r="B164" s="156" t="str">
        <x: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x:f>
        <x:v/>
      </x:c>
      <x:c r="C164" s="156" t="str">
        <x:f>IF(D164="","",IF(OR(D164="교육지원과",D164="총무과",D164="인사과"),"직접입력",VLOOKUP(D164,구분표!$A$3:$C$258,3,)))</x:f>
        <x:v/>
      </x:c>
      <x:c r="D164" s="219"/>
      <x:c r="E164" s="213"/>
      <x:c r="F164" s="388" t="str">
        <x:f t="shared" si="184"/>
        <x:v/>
      </x:c>
      <x:c r="G164" s="388" t="str">
        <x:f t="shared" si="184"/>
        <x:v/>
      </x:c>
      <x:c r="H164" s="213"/>
      <x:c r="I164" s="156" t="str">
        <x:f>IF(H164="","",VLOOKUP($H164,구분표!$K$3:$M$151,2,FALSE))</x:f>
        <x:v/>
      </x:c>
      <x:c r="J164" s="156" t="str">
        <x:f>IF(I164="","",VLOOKUP($H164,구분표!$K$3:$M$151,3,FALSE))</x:f>
        <x:v/>
      </x:c>
      <x:c r="K164" s="233"/>
      <x:c r="L164" s="233"/>
      <x:c r="M164" s="459" t="str">
        <x:f t="shared" si="185"/>
        <x:v/>
      </x:c>
      <x:c r="N164" s="459" t="str">
        <x:f t="shared" si="186"/>
        <x:v/>
      </x:c>
      <x:c r="O164" s="461" t="str">
        <x:f t="shared" si="167"/>
        <x:v/>
      </x:c>
      <x:c r="P164" s="460"/>
      <x:c r="Q164" s="461">
        <x:f t="shared" si="168"/>
        <x:v>0</x:v>
      </x:c>
      <x:c r="R164" s="462"/>
      <x:c r="S164" s="463">
        <x:f t="shared" si="169"/>
        <x:v>0</x:v>
      </x:c>
      <x:c r="T164" s="162" t="str">
        <x:f t="shared" si="170"/>
        <x:v>X</x:v>
      </x:c>
      <x:c r="U164" s="552"/>
      <x:c r="V164" s="331"/>
      <x:c r="W164" s="221"/>
      <x:c r="X164" s="223"/>
      <x:c r="Y164" s="334"/>
      <x:c r="Z164" s="334"/>
      <x:c r="AA164" s="29"/>
      <x:c r="AB164" s="486">
        <x:f t="shared" si="171"/>
        <x:v>0</x:v>
      </x:c>
      <x:c r="AC164" s="487">
        <x:f t="shared" si="172"/>
        <x:v>0</x:v>
      </x:c>
      <x:c r="AD164" s="487">
        <x:f t="shared" si="173"/>
        <x:v>0</x:v>
      </x:c>
      <x:c r="AE164" s="487">
        <x:f t="shared" si="174"/>
        <x:v>0</x:v>
      </x:c>
      <x:c r="AF164" s="374" t="str">
        <x:f t="shared" si="175"/>
        <x:v/>
      </x:c>
      <x:c r="AG164" s="93"/>
      <x:c r="AH164" s="488">
        <x:f t="shared" si="176"/>
        <x:v>0</x:v>
      </x:c>
      <x:c r="AI164" s="487">
        <x:f t="shared" si="177"/>
        <x:v>0</x:v>
      </x:c>
      <x:c r="AJ164" s="487">
        <x:f t="shared" si="178"/>
        <x:v>0</x:v>
      </x:c>
      <x:c r="AK164" s="487">
        <x:f t="shared" si="179"/>
        <x:v>0</x:v>
      </x:c>
      <x:c r="AL164" s="374" t="str">
        <x:f t="shared" si="180"/>
        <x:v/>
      </x:c>
      <x:c r="AM164" s="92"/>
      <x:c r="AN164" s="221"/>
      <x:c r="AO164" s="374" t="str">
        <x:f>IF($AP164="","",IF($AN164="세입없음","OK",IF(OR($AP164="재원확인",$AN164=""),"@@",IF(COUNTIF('3. 일입'!$AK$8:$AK$2000,$AN164),"OK","@@"))))</x:f>
        <x:v/>
      </x:c>
      <x:c r="AP164" s="356" t="str">
        <x:f t="shared" si="181"/>
        <x:v/>
      </x:c>
      <x:c r="AQ164" s="374" t="str">
        <x:f>IF(AND($AN164="",$AP164=""),"",IF(AND($AN164&lt;&gt;"",$AP164&lt;&gt;""),IF(AN164="세입없음","OK",IF(VLOOKUP($AN164,'3. 일입'!$AK$7:$AL$2000,2,FALSE)=$AP164,"OK","@@")),"@@"))</x:f>
        <x:v/>
      </x:c>
      <x:c r="AR164" s="93"/>
      <x:c r="AS164" s="533"/>
      <x:c r="AT164" s="374" t="str">
        <x:f>IF($AS164="","",IF($AS164="세입없음","OK",IF(COUNTIF('3. 일입'!$AN$8:$AN$2000,$AS164),"OK","@@")))</x:f>
        <x:v/>
      </x:c>
      <x:c r="AU164" s="356" t="str">
        <x:f t="shared" si="182"/>
        <x:v/>
      </x:c>
      <x:c r="AV164" s="374" t="str">
        <x:f t="shared" si="183"/>
        <x:v/>
      </x:c>
      <x:c r="AW164" s="93"/>
      <x:c r="AX164" s="348"/>
      <x:c r="AY164" s="29"/>
    </x:row>
    <x:row r="165" spans="1:51" s="20" customFormat="1" ht="80.099999999999994" customHeight="1">
      <x:c r="A165" s="155" t="str">
        <x:f>IF(D165="","",COUNTA($C$7:C165)-COUNTBLANK($C$7:C165)+10)</x:f>
        <x:v/>
      </x:c>
      <x:c r="B165" s="156" t="str">
        <x: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x:f>
        <x:v/>
      </x:c>
      <x:c r="C165" s="156" t="str">
        <x:f>IF(D165="","",IF(OR(D165="교육지원과",D165="총무과",D165="인사과"),"직접입력",VLOOKUP(D165,구분표!$A$3:$C$258,3,)))</x:f>
        <x:v/>
      </x:c>
      <x:c r="D165" s="219"/>
      <x:c r="E165" s="213"/>
      <x:c r="F165" s="388" t="str">
        <x:f t="shared" si="184"/>
        <x:v/>
      </x:c>
      <x:c r="G165" s="388" t="str">
        <x:f t="shared" si="184"/>
        <x:v/>
      </x:c>
      <x:c r="H165" s="213"/>
      <x:c r="I165" s="156" t="str">
        <x:f>IF(H165="","",VLOOKUP($H165,구분표!$K$3:$M$151,2,FALSE))</x:f>
        <x:v/>
      </x:c>
      <x:c r="J165" s="156" t="str">
        <x:f>IF(I165="","",VLOOKUP($H165,구분표!$K$3:$M$151,3,FALSE))</x:f>
        <x:v/>
      </x:c>
      <x:c r="K165" s="233"/>
      <x:c r="L165" s="233"/>
      <x:c r="M165" s="459" t="str">
        <x:f t="shared" si="185"/>
        <x:v/>
      </x:c>
      <x:c r="N165" s="459" t="str">
        <x:f t="shared" si="186"/>
        <x:v/>
      </x:c>
      <x:c r="O165" s="461" t="str">
        <x:f t="shared" si="167"/>
        <x:v/>
      </x:c>
      <x:c r="P165" s="460"/>
      <x:c r="Q165" s="461">
        <x:f t="shared" si="168"/>
        <x:v>0</x:v>
      </x:c>
      <x:c r="R165" s="462"/>
      <x:c r="S165" s="463">
        <x:f t="shared" si="169"/>
        <x:v>0</x:v>
      </x:c>
      <x:c r="T165" s="162" t="str">
        <x:f t="shared" si="170"/>
        <x:v>X</x:v>
      </x:c>
      <x:c r="U165" s="552"/>
      <x:c r="V165" s="331"/>
      <x:c r="W165" s="221"/>
      <x:c r="X165" s="223"/>
      <x:c r="Y165" s="334"/>
      <x:c r="Z165" s="334"/>
      <x:c r="AA165" s="29"/>
      <x:c r="AB165" s="486">
        <x:f t="shared" si="171"/>
        <x:v>0</x:v>
      </x:c>
      <x:c r="AC165" s="487">
        <x:f t="shared" si="172"/>
        <x:v>0</x:v>
      </x:c>
      <x:c r="AD165" s="487">
        <x:f t="shared" si="173"/>
        <x:v>0</x:v>
      </x:c>
      <x:c r="AE165" s="487">
        <x:f t="shared" si="174"/>
        <x:v>0</x:v>
      </x:c>
      <x:c r="AF165" s="374" t="str">
        <x:f t="shared" si="175"/>
        <x:v/>
      </x:c>
      <x:c r="AG165" s="93"/>
      <x:c r="AH165" s="488">
        <x:f t="shared" si="176"/>
        <x:v>0</x:v>
      </x:c>
      <x:c r="AI165" s="487">
        <x:f t="shared" si="177"/>
        <x:v>0</x:v>
      </x:c>
      <x:c r="AJ165" s="487">
        <x:f t="shared" si="178"/>
        <x:v>0</x:v>
      </x:c>
      <x:c r="AK165" s="487">
        <x:f t="shared" si="179"/>
        <x:v>0</x:v>
      </x:c>
      <x:c r="AL165" s="374" t="str">
        <x:f t="shared" si="180"/>
        <x:v/>
      </x:c>
      <x:c r="AM165" s="92"/>
      <x:c r="AN165" s="221"/>
      <x:c r="AO165" s="374" t="str">
        <x:f>IF($AP165="","",IF($AN165="세입없음","OK",IF(OR($AP165="재원확인",$AN165=""),"@@",IF(COUNTIF('3. 일입'!$AK$8:$AK$2000,$AN165),"OK","@@"))))</x:f>
        <x:v/>
      </x:c>
      <x:c r="AP165" s="356" t="str">
        <x:f t="shared" si="181"/>
        <x:v/>
      </x:c>
      <x:c r="AQ165" s="374" t="str">
        <x:f>IF(AND($AN165="",$AP165=""),"",IF(AND($AN165&lt;&gt;"",$AP165&lt;&gt;""),IF(AN165="세입없음","OK",IF(VLOOKUP($AN165,'3. 일입'!$AK$7:$AL$2000,2,FALSE)=$AP165,"OK","@@")),"@@"))</x:f>
        <x:v/>
      </x:c>
      <x:c r="AR165" s="93"/>
      <x:c r="AS165" s="533"/>
      <x:c r="AT165" s="374" t="str">
        <x:f>IF($AS165="","",IF($AS165="세입없음","OK",IF(COUNTIF('3. 일입'!$AN$8:$AN$2000,$AS165),"OK","@@")))</x:f>
        <x:v/>
      </x:c>
      <x:c r="AU165" s="356" t="str">
        <x:f t="shared" si="182"/>
        <x:v/>
      </x:c>
      <x:c r="AV165" s="374" t="str">
        <x:f t="shared" si="183"/>
        <x:v/>
      </x:c>
      <x:c r="AW165" s="93"/>
      <x:c r="AX165" s="348"/>
      <x:c r="AY165" s="29"/>
    </x:row>
    <x:row r="166" spans="1:51" s="20" customFormat="1" ht="80.099999999999994" customHeight="1">
      <x:c r="A166" s="155" t="str">
        <x:f>IF(D166="","",COUNTA($C$7:C166)-COUNTBLANK($C$7:C166)+10)</x:f>
        <x:v/>
      </x:c>
      <x:c r="B166" s="156" t="str">
        <x: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x:f>
        <x:v/>
      </x:c>
      <x:c r="C166" s="156" t="str">
        <x:f>IF(D166="","",IF(OR(D166="교육지원과",D166="총무과",D166="인사과"),"직접입력",VLOOKUP(D166,구분표!$A$3:$C$258,3,)))</x:f>
        <x:v/>
      </x:c>
      <x:c r="D166" s="219"/>
      <x:c r="E166" s="213"/>
      <x:c r="F166" s="388" t="str">
        <x:f t="shared" si="184"/>
        <x:v/>
      </x:c>
      <x:c r="G166" s="388" t="str">
        <x:f t="shared" si="184"/>
        <x:v/>
      </x:c>
      <x:c r="H166" s="213"/>
      <x:c r="I166" s="156" t="str">
        <x:f>IF(H166="","",VLOOKUP($H166,구분표!$K$3:$M$151,2,FALSE))</x:f>
        <x:v/>
      </x:c>
      <x:c r="J166" s="156" t="str">
        <x:f>IF(I166="","",VLOOKUP($H166,구분표!$K$3:$M$151,3,FALSE))</x:f>
        <x:v/>
      </x:c>
      <x:c r="K166" s="233"/>
      <x:c r="L166" s="233"/>
      <x:c r="M166" s="459" t="str">
        <x:f t="shared" si="185"/>
        <x:v/>
      </x:c>
      <x:c r="N166" s="459" t="str">
        <x:f t="shared" si="186"/>
        <x:v/>
      </x:c>
      <x:c r="O166" s="461" t="str">
        <x:f t="shared" si="167"/>
        <x:v/>
      </x:c>
      <x:c r="P166" s="460"/>
      <x:c r="Q166" s="461">
        <x:f t="shared" si="168"/>
        <x:v>0</x:v>
      </x:c>
      <x:c r="R166" s="462"/>
      <x:c r="S166" s="463">
        <x:f t="shared" si="169"/>
        <x:v>0</x:v>
      </x:c>
      <x:c r="T166" s="162" t="str">
        <x:f t="shared" si="170"/>
        <x:v>X</x:v>
      </x:c>
      <x:c r="U166" s="552"/>
      <x:c r="V166" s="331"/>
      <x:c r="W166" s="221"/>
      <x:c r="X166" s="223"/>
      <x:c r="Y166" s="334"/>
      <x:c r="Z166" s="334"/>
      <x:c r="AA166" s="29"/>
      <x:c r="AB166" s="486">
        <x:f t="shared" si="171"/>
        <x:v>0</x:v>
      </x:c>
      <x:c r="AC166" s="487">
        <x:f t="shared" si="172"/>
        <x:v>0</x:v>
      </x:c>
      <x:c r="AD166" s="487">
        <x:f t="shared" si="173"/>
        <x:v>0</x:v>
      </x:c>
      <x:c r="AE166" s="487">
        <x:f t="shared" si="174"/>
        <x:v>0</x:v>
      </x:c>
      <x:c r="AF166" s="374" t="str">
        <x:f t="shared" si="175"/>
        <x:v/>
      </x:c>
      <x:c r="AG166" s="93"/>
      <x:c r="AH166" s="488">
        <x:f t="shared" si="176"/>
        <x:v>0</x:v>
      </x:c>
      <x:c r="AI166" s="487">
        <x:f t="shared" si="177"/>
        <x:v>0</x:v>
      </x:c>
      <x:c r="AJ166" s="487">
        <x:f t="shared" si="178"/>
        <x:v>0</x:v>
      </x:c>
      <x:c r="AK166" s="487">
        <x:f t="shared" si="179"/>
        <x:v>0</x:v>
      </x:c>
      <x:c r="AL166" s="374" t="str">
        <x:f t="shared" si="180"/>
        <x:v/>
      </x:c>
      <x:c r="AM166" s="92"/>
      <x:c r="AN166" s="221"/>
      <x:c r="AO166" s="374" t="str">
        <x:f>IF($AP166="","",IF($AN166="세입없음","OK",IF(OR($AP166="재원확인",$AN166=""),"@@",IF(COUNTIF('3. 일입'!$AK$8:$AK$2000,$AN166),"OK","@@"))))</x:f>
        <x:v/>
      </x:c>
      <x:c r="AP166" s="356" t="str">
        <x:f t="shared" si="181"/>
        <x:v/>
      </x:c>
      <x:c r="AQ166" s="374" t="str">
        <x:f>IF(AND($AN166="",$AP166=""),"",IF(AND($AN166&lt;&gt;"",$AP166&lt;&gt;""),IF(AN166="세입없음","OK",IF(VLOOKUP($AN166,'3. 일입'!$AK$7:$AL$2000,2,FALSE)=$AP166,"OK","@@")),"@@"))</x:f>
        <x:v/>
      </x:c>
      <x:c r="AR166" s="93"/>
      <x:c r="AS166" s="533"/>
      <x:c r="AT166" s="374" t="str">
        <x:f>IF($AS166="","",IF($AS166="세입없음","OK",IF(COUNTIF('3. 일입'!$AN$8:$AN$2000,$AS166),"OK","@@")))</x:f>
        <x:v/>
      </x:c>
      <x:c r="AU166" s="356" t="str">
        <x:f t="shared" si="182"/>
        <x:v/>
      </x:c>
      <x:c r="AV166" s="374" t="str">
        <x:f t="shared" si="183"/>
        <x:v/>
      </x:c>
      <x:c r="AW166" s="93"/>
      <x:c r="AX166" s="348"/>
      <x:c r="AY166" s="29"/>
    </x:row>
    <x:row r="167" spans="1:51" s="345" customFormat="1" ht="60" customHeight="1">
      <x:c r="A167" s="337"/>
      <x:c r="B167" s="979" t="s">
        <x:v>1618</x:v>
      </x:c>
      <x:c r="C167" s="979"/>
      <x:c r="D167" s="979"/>
      <x:c r="E167" s="979"/>
      <x:c r="F167" s="979"/>
      <x:c r="G167" s="979"/>
      <x:c r="H167" s="338"/>
      <x:c r="I167" s="359"/>
      <x:c r="J167" s="359"/>
      <x:c r="K167" s="339"/>
      <x:c r="L167" s="340" t="str">
        <x:f>SUBTOTAL(3,$L168:$L182)&amp;"건"</x:f>
        <x:v>0건</x:v>
      </x:c>
      <x:c r="M167" s="476">
        <x:f t="shared" ref="M167:N167" si="187">SUBTOTAL(9,M168:M182)</x:f>
        <x:v>0</x:v>
      </x:c>
      <x:c r="N167" s="476">
        <x:f t="shared" si="187"/>
        <x:v>0</x:v>
      </x:c>
      <x:c r="O167" s="482">
        <x:f t="shared" ref="O167:S167" si="188">SUBTOTAL(9,O168:O182)</x:f>
        <x:v>0</x:v>
      </x:c>
      <x:c r="P167" s="482">
        <x:f t="shared" si="188"/>
        <x:v>0</x:v>
      </x:c>
      <x:c r="Q167" s="482">
        <x:f t="shared" si="188"/>
        <x:v>0</x:v>
      </x:c>
      <x:c r="R167" s="482">
        <x:f t="shared" si="188"/>
        <x:v>0</x:v>
      </x:c>
      <x:c r="S167" s="482">
        <x:f t="shared" si="188"/>
        <x:v>0</x:v>
      </x:c>
      <x:c r="T167" s="337"/>
      <x:c r="U167" s="551"/>
      <x:c r="V167" s="346"/>
      <x:c r="W167" s="342"/>
      <x:c r="X167" s="343"/>
      <x:c r="Y167" s="343"/>
      <x:c r="Z167" s="343"/>
      <x:c r="AA167" s="344"/>
      <x:c r="AB167" s="483">
        <x:f>SUBTOTAL(9,AB168:AB182)</x:f>
        <x:v>0</x:v>
      </x:c>
      <x:c r="AC167" s="483">
        <x:f>SUBTOTAL(9,AC168:AC182)</x:f>
        <x:v>0</x:v>
      </x:c>
      <x:c r="AD167" s="483">
        <x:f>SUBTOTAL(9,AD168:AD182)</x:f>
        <x:v>0</x:v>
      </x:c>
      <x:c r="AE167" s="483">
        <x:f>SUBTOTAL(9,AE168:AE182)</x:f>
        <x:v>0</x:v>
      </x:c>
      <x:c r="AF167" s="554" t="str">
        <x:f>IF(COUNTIF(AF168:AF182,"@@")&gt;0,"@@","OK")</x:f>
        <x:v>OK</x:v>
      </x:c>
      <x:c r="AG167" s="344"/>
      <x:c r="AH167" s="483">
        <x:f>SUBTOTAL(9,AH168:AH182)</x:f>
        <x:v>0</x:v>
      </x:c>
      <x:c r="AI167" s="483">
        <x:f>SUBTOTAL(9,AI168:AI182)</x:f>
        <x:v>0</x:v>
      </x:c>
      <x:c r="AJ167" s="483">
        <x:f>SUBTOTAL(9,AJ168:AJ182)</x:f>
        <x:v>0</x:v>
      </x:c>
      <x:c r="AK167" s="483">
        <x:f>SUBTOTAL(9,AK168:AK182)</x:f>
        <x:v>0</x:v>
      </x:c>
      <x:c r="AL167" s="554" t="str">
        <x:f>IF(COUNTIF(AL168:AL182,"@@")&gt;0,"@@","OK")</x:f>
        <x:v>OK</x:v>
      </x:c>
      <x:c r="AM167" s="344"/>
      <x:c r="AN167" s="343"/>
      <x:c r="AO167" s="554" t="str">
        <x:f>IF(COUNTIF(AO168:AO182,"@@")&gt;0,"@@","OK")</x:f>
        <x:v>OK</x:v>
      </x:c>
      <x:c r="AP167" s="343"/>
      <x:c r="AQ167" s="554" t="str">
        <x:f>IF(COUNTIF(AQ168:AQ182,"@@")&gt;0,"@@","OK")</x:f>
        <x:v>OK</x:v>
      </x:c>
      <x:c r="AR167" s="344"/>
      <x:c r="AS167" s="343"/>
      <x:c r="AT167" s="554" t="str">
        <x:f>IF(COUNTIF(AT168:AT182,"@@")&gt;0,"@@","OK")</x:f>
        <x:v>OK</x:v>
      </x:c>
      <x:c r="AU167" s="343"/>
      <x:c r="AV167" s="554" t="str">
        <x:f>IF(COUNTIF(AV168:AV182,"@@")&gt;0,"@@","OK")</x:f>
        <x:v>OK</x:v>
      </x:c>
      <x:c r="AW167" s="344"/>
      <x:c r="AX167" s="343"/>
      <x:c r="AY167" s="344"/>
    </x:row>
    <x:row r="168" spans="1:51" ht="80.099999999999994" customHeight="1">
      <x:c r="A168" s="155" t="str">
        <x:f>IF(D168="","",COUNTA($C$7:C168)-COUNTBLANK($C$7:C168)+11)</x:f>
        <x:v/>
      </x:c>
      <x:c r="B168" s="156" t="str">
        <x: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x:f>
        <x:v/>
      </x:c>
      <x:c r="C168" s="156" t="str">
        <x:f>IF(D168="","",IF(OR(D168="교육지원과",D168="총무과",D168="인사과"),"직접입력",VLOOKUP(D168,구분표!$A$3:$C$258,3,)))</x:f>
        <x:v/>
      </x:c>
      <x:c r="D168" s="219"/>
      <x:c r="E168" s="213"/>
      <x:c r="F168" s="388" t="str">
        <x:f>IF($E168="","",IF($E168="2추","직접입력","-"))</x:f>
        <x:v/>
      </x:c>
      <x:c r="G168" s="388" t="str">
        <x:f>IF($E168="","",IF($E168="2추","직접입력","-"))</x:f>
        <x:v/>
      </x:c>
      <x:c r="H168" s="213"/>
      <x:c r="I168" s="156" t="str">
        <x:f>IF(H168="","",VLOOKUP($H168,구분표!$K$3:$M$151,2,FALSE))</x:f>
        <x:v/>
      </x:c>
      <x:c r="J168" s="156" t="str">
        <x:f>IF(I168="","",VLOOKUP($H168,구분표!$K$3:$M$151,3,FALSE))</x:f>
        <x:v/>
      </x:c>
      <x:c r="K168" s="233"/>
      <x:c r="L168" s="233"/>
      <x:c r="M168" s="459" t="str">
        <x:f>IF($E168="","",IF(OR($E168="2추",$E168="1추",$E168="본예산"),"금액입력","-"))</x:f>
        <x:v/>
      </x:c>
      <x:c r="N168" s="459" t="str">
        <x:f>IF($E168="","",IF($E168="2추","금액입력","-"))</x:f>
        <x:v/>
      </x:c>
      <x:c r="O168" s="461" t="str">
        <x:f t="shared" ref="O168:O182" si="189">IF($E168="","",SUM(M168:N168))</x:f>
        <x:v/>
      </x:c>
      <x:c r="P168" s="460"/>
      <x:c r="Q168" s="461">
        <x:f t="shared" ref="Q168:Q182" si="190">SUM(O168:P168)</x:f>
        <x:v>0</x:v>
      </x:c>
      <x:c r="R168" s="462"/>
      <x:c r="S168" s="463">
        <x:f t="shared" ref="S168:S182" si="191">SUM(O168,R168)</x:f>
        <x:v>0</x:v>
      </x:c>
      <x:c r="T168" s="162" t="str">
        <x:f t="shared" ref="T168:T182" si="192">IF(AND((Q168=0),(S168&gt;0)),"O",IF(AND((P168&lt;0),(Q168-S168&lt;0)),"O","X"))</x:f>
        <x:v>X</x:v>
      </x:c>
      <x:c r="U168" s="552"/>
      <x:c r="V168" s="331"/>
      <x:c r="W168" s="221"/>
      <x:c r="X168" s="223"/>
      <x:c r="Y168" s="334"/>
      <x:c r="Z168" s="334"/>
      <x:c r="AA168" s="29"/>
      <x:c r="AB168" s="486">
        <x:f t="shared" ref="AB168:AB182" si="193">IF($P168="",0,IF($P168&lt;&gt;0,"재원입력필요",0))</x:f>
        <x:v>0</x:v>
      </x:c>
      <x:c r="AC168" s="487">
        <x:f t="shared" ref="AC168:AC182" si="194">IF($P168="",0,IF(AND(ISNUMBER($AB168),ISNUMBER(AD168),ISNUMBER(AE168)),$P168-$AB168-$AD168-$AE168,0))</x:f>
        <x:v>0</x:v>
      </x:c>
      <x:c r="AD168" s="487">
        <x:f t="shared" ref="AD168:AD182" si="195">IF($P168="",0,IF(COUNT(FIND("(지방채)",$L168))&gt;0,"재원입력필요",0))</x:f>
        <x:v>0</x:v>
      </x:c>
      <x:c r="AE168" s="487">
        <x:f t="shared" ref="AE168:AE182" si="196">IF($P168="",0,IF(COUNT(FIND("(지역개발기금)",$L168))&gt;0,"재원입력필요",0))</x:f>
        <x:v>0</x:v>
      </x:c>
      <x:c r="AF168" s="374" t="str">
        <x:f t="shared" ref="AF168:AF182" si="197">IF($P168="",IF(SUM($AB168:$AE168)=0,"","@@"),IF(AND($P168=SUM($AB168:$AE168),$Q168&gt;=0),"OK","@@"))</x:f>
        <x:v/>
      </x:c>
      <x:c r="AG168" s="93"/>
      <x:c r="AH168" s="488">
        <x:f t="shared" ref="AH168:AH182" si="198">IF($R168="",0,IF($R168&lt;&gt;0,"재원입력필요",0))</x:f>
        <x:v>0</x:v>
      </x:c>
      <x:c r="AI168" s="487">
        <x:f t="shared" ref="AI168:AI182" si="199">IF($R168="",0,IF(AND(ISNUMBER($AH168),ISNUMBER($AJ168),ISNUMBER($AK168)),$R168-$AH168-$AJ168-$AK168,0))</x:f>
        <x:v>0</x:v>
      </x:c>
      <x:c r="AJ168" s="487">
        <x:f t="shared" ref="AJ168:AJ182" si="200">IF($R168="",0,IF(COUNT(FIND("(지방채)",$L168))&gt;0,"재원입력필요",0))</x:f>
        <x:v>0</x:v>
      </x:c>
      <x:c r="AK168" s="487">
        <x:f t="shared" ref="AK168:AK182" si="201">IF($R168="",0,IF(COUNT(FIND("(지역개발기금)",$L168))&gt;0,"재원입력필요",0))</x:f>
        <x:v>0</x:v>
      </x:c>
      <x:c r="AL168" s="374" t="str">
        <x:f t="shared" ref="AL168:AL182" si="202">IF($R168="",IF(SUM($AH168:$AK168)=0,"","@@"),IF(AND($R168=SUM($AH168:$AK168),$S168&gt;=0),"OK","@@"))</x:f>
        <x:v/>
      </x:c>
      <x:c r="AM168" s="92"/>
      <x:c r="AN168" s="221"/>
      <x:c r="AO168" s="374" t="str">
        <x:f>IF($AP168="","",IF($AN168="세입없음","OK",IF(OR($AP168="재원확인",$AN168=""),"@@",IF(COUNTIF('3. 일입'!$AK$8:$AK$2000,$AN168),"OK","@@"))))</x:f>
        <x:v/>
      </x:c>
      <x:c r="AP168" s="356" t="str">
        <x:f t="shared" ref="AP168:AP182" si="203">IF($K168="","",IF(COUNT(FIND("국비/",$K168)),"국비",IF(COUNT(FIND("균특/",$K168)),"균특",IF(COUNT(FIND("기금/",$K168)),"기금",IF(COUNT(FIND("교부세/",$K168)),"특교",IF(COUNT(FIND("소방안전/",$K168)),"소교",IF(COUNT(FIND("소멸대응/",$K168)),"소멸","재원확인")))))))</x:f>
        <x:v/>
      </x:c>
      <x:c r="AQ168" s="374" t="str">
        <x:f>IF(AND($AN168="",$AP168=""),"",IF(AND($AN168&lt;&gt;"",$AP168&lt;&gt;""),IF(AN168="세입없음","OK",IF(VLOOKUP($AN168,'3. 일입'!$AK$7:$AL$2000,2,FALSE)=$AP168,"OK","@@")),"@@"))</x:f>
        <x:v/>
      </x:c>
      <x:c r="AR168" s="93"/>
      <x:c r="AS168" s="533"/>
      <x:c r="AT168" s="374" t="str">
        <x:f>IF($AS168="","",IF($AS168="세입없음","OK",IF(COUNTIF('3. 일입'!$AN$8:$AN$2000,$AS168),"OK","@@")))</x:f>
        <x:v/>
      </x:c>
      <x:c r="AU168" s="356" t="str">
        <x:f t="shared" ref="AU168:AU182" si="204">IF($L168="","",IF(COUNT(FIND("(지역개발기금)",$L168)),"지역개발기금",IF(COUNT(FIND("지방채",$L168)),"지방채","자체")))</x:f>
        <x:v/>
      </x:c>
      <x:c r="AV168" s="374" t="str">
        <x:f t="shared" ref="AV168:AV182" si="205">IF($AS168="",IF($AU168="","",IF($AU168="자체","OK","@@")),IF($AS168="세입없음","OK",IF($AU168="","@@",IF(ISNUMBER(FIND($AU168,$AS168)),"OK","@@"))))</x:f>
        <x:v/>
      </x:c>
      <x:c r="AW168" s="93"/>
      <x:c r="AX168" s="348"/>
      <x:c r="AY168" s="28"/>
    </x:row>
    <x:row r="169" spans="1:51" s="20" customFormat="1" ht="80.099999999999994" customHeight="1">
      <x:c r="A169" s="155" t="str">
        <x:f>IF(D169="","",COUNTA($C$7:C169)-COUNTBLANK($C$7:C169)+11)</x:f>
        <x:v/>
      </x:c>
      <x:c r="B169" s="156" t="str">
        <x: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x:f>
        <x:v/>
      </x:c>
      <x:c r="C169" s="156" t="str">
        <x:f>IF(D169="","",IF(OR(D169="교육지원과",D169="총무과",D169="인사과"),"직접입력",VLOOKUP(D169,구분표!$A$3:$C$258,3,)))</x:f>
        <x:v/>
      </x:c>
      <x:c r="D169" s="219"/>
      <x:c r="E169" s="213"/>
      <x:c r="F169" s="388" t="str">
        <x:f t="shared" ref="F169:G182" si="206">IF($E169="","",IF($E169="2추","직접입력","-"))</x:f>
        <x:v/>
      </x:c>
      <x:c r="G169" s="388" t="str">
        <x:f t="shared" si="206"/>
        <x:v/>
      </x:c>
      <x:c r="H169" s="213"/>
      <x:c r="I169" s="156" t="str">
        <x:f>IF(H169="","",VLOOKUP($H169,구분표!$K$3:$M$151,2,FALSE))</x:f>
        <x:v/>
      </x:c>
      <x:c r="J169" s="156" t="str">
        <x:f>IF(I169="","",VLOOKUP($H169,구분표!$K$3:$M$151,3,FALSE))</x:f>
        <x:v/>
      </x:c>
      <x:c r="K169" s="233"/>
      <x:c r="L169" s="233"/>
      <x:c r="M169" s="459" t="str">
        <x:f t="shared" ref="M169:M182" si="207">IF($E169="","",IF(OR($E169="2추",$E169="1추",$E169="본예산"),"금액입력","-"))</x:f>
        <x:v/>
      </x:c>
      <x:c r="N169" s="459" t="str">
        <x:f t="shared" ref="N169:N182" si="208">IF($E169="","",IF($E169="2추","금액입력","-"))</x:f>
        <x:v/>
      </x:c>
      <x:c r="O169" s="461" t="str">
        <x:f t="shared" si="189"/>
        <x:v/>
      </x:c>
      <x:c r="P169" s="460"/>
      <x:c r="Q169" s="461">
        <x:f t="shared" si="190"/>
        <x:v>0</x:v>
      </x:c>
      <x:c r="R169" s="462"/>
      <x:c r="S169" s="463">
        <x:f t="shared" si="191"/>
        <x:v>0</x:v>
      </x:c>
      <x:c r="T169" s="162" t="str">
        <x:f t="shared" si="192"/>
        <x:v>X</x:v>
      </x:c>
      <x:c r="U169" s="552"/>
      <x:c r="V169" s="331"/>
      <x:c r="W169" s="221"/>
      <x:c r="X169" s="223"/>
      <x:c r="Y169" s="334"/>
      <x:c r="Z169" s="334"/>
      <x:c r="AA169" s="29"/>
      <x:c r="AB169" s="486">
        <x:f t="shared" si="193"/>
        <x:v>0</x:v>
      </x:c>
      <x:c r="AC169" s="487">
        <x:f t="shared" si="194"/>
        <x:v>0</x:v>
      </x:c>
      <x:c r="AD169" s="487">
        <x:f t="shared" si="195"/>
        <x:v>0</x:v>
      </x:c>
      <x:c r="AE169" s="487">
        <x:f t="shared" si="196"/>
        <x:v>0</x:v>
      </x:c>
      <x:c r="AF169" s="374" t="str">
        <x:f t="shared" si="197"/>
        <x:v/>
      </x:c>
      <x:c r="AG169" s="93"/>
      <x:c r="AH169" s="488">
        <x:f t="shared" si="198"/>
        <x:v>0</x:v>
      </x:c>
      <x:c r="AI169" s="487">
        <x:f t="shared" si="199"/>
        <x:v>0</x:v>
      </x:c>
      <x:c r="AJ169" s="487">
        <x:f t="shared" si="200"/>
        <x:v>0</x:v>
      </x:c>
      <x:c r="AK169" s="487">
        <x:f t="shared" si="201"/>
        <x:v>0</x:v>
      </x:c>
      <x:c r="AL169" s="374" t="str">
        <x:f t="shared" si="202"/>
        <x:v/>
      </x:c>
      <x:c r="AM169" s="92"/>
      <x:c r="AN169" s="221"/>
      <x:c r="AO169" s="374" t="str">
        <x:f>IF($AP169="","",IF($AN169="세입없음","OK",IF(OR($AP169="재원확인",$AN169=""),"@@",IF(COUNTIF('3. 일입'!$AK$8:$AK$2000,$AN169),"OK","@@"))))</x:f>
        <x:v/>
      </x:c>
      <x:c r="AP169" s="356" t="str">
        <x:f t="shared" si="203"/>
        <x:v/>
      </x:c>
      <x:c r="AQ169" s="374" t="str">
        <x:f>IF(AND($AN169="",$AP169=""),"",IF(AND($AN169&lt;&gt;"",$AP169&lt;&gt;""),IF(AN169="세입없음","OK",IF(VLOOKUP($AN169,'3. 일입'!$AK$7:$AL$2000,2,FALSE)=$AP169,"OK","@@")),"@@"))</x:f>
        <x:v/>
      </x:c>
      <x:c r="AR169" s="93"/>
      <x:c r="AS169" s="533"/>
      <x:c r="AT169" s="374" t="str">
        <x:f>IF($AS169="","",IF($AS169="세입없음","OK",IF(COUNTIF('3. 일입'!$AN$8:$AN$2000,$AS169),"OK","@@")))</x:f>
        <x:v/>
      </x:c>
      <x:c r="AU169" s="356" t="str">
        <x:f t="shared" si="204"/>
        <x:v/>
      </x:c>
      <x:c r="AV169" s="374" t="str">
        <x:f t="shared" si="205"/>
        <x:v/>
      </x:c>
      <x:c r="AW169" s="93"/>
      <x:c r="AX169" s="348"/>
      <x:c r="AY169" s="29"/>
    </x:row>
    <x:row r="170" spans="1:51" s="20" customFormat="1" ht="80.099999999999994" customHeight="1">
      <x:c r="A170" s="155" t="str">
        <x:f>IF(D170="","",COUNTA($C$7:C170)-COUNTBLANK($C$7:C170)+11)</x:f>
        <x:v/>
      </x:c>
      <x:c r="B170" s="156" t="str">
        <x: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x:f>
        <x:v/>
      </x:c>
      <x:c r="C170" s="156" t="str">
        <x:f>IF(D170="","",IF(OR(D170="교육지원과",D170="총무과",D170="인사과"),"직접입력",VLOOKUP(D170,구분표!$A$3:$C$258,3,)))</x:f>
        <x:v/>
      </x:c>
      <x:c r="D170" s="219"/>
      <x:c r="E170" s="213"/>
      <x:c r="F170" s="388" t="str">
        <x:f t="shared" si="206"/>
        <x:v/>
      </x:c>
      <x:c r="G170" s="388" t="str">
        <x:f t="shared" si="206"/>
        <x:v/>
      </x:c>
      <x:c r="H170" s="213"/>
      <x:c r="I170" s="156" t="str">
        <x:f>IF(H170="","",VLOOKUP($H170,구분표!$K$3:$M$151,2,FALSE))</x:f>
        <x:v/>
      </x:c>
      <x:c r="J170" s="156" t="str">
        <x:f>IF(I170="","",VLOOKUP($H170,구분표!$K$3:$M$151,3,FALSE))</x:f>
        <x:v/>
      </x:c>
      <x:c r="K170" s="233"/>
      <x:c r="L170" s="233"/>
      <x:c r="M170" s="459" t="str">
        <x:f t="shared" si="207"/>
        <x:v/>
      </x:c>
      <x:c r="N170" s="459" t="str">
        <x:f t="shared" si="208"/>
        <x:v/>
      </x:c>
      <x:c r="O170" s="461" t="str">
        <x:f t="shared" si="189"/>
        <x:v/>
      </x:c>
      <x:c r="P170" s="460"/>
      <x:c r="Q170" s="461">
        <x:f t="shared" si="190"/>
        <x:v>0</x:v>
      </x:c>
      <x:c r="R170" s="462"/>
      <x:c r="S170" s="463">
        <x:f t="shared" si="191"/>
        <x:v>0</x:v>
      </x:c>
      <x:c r="T170" s="162" t="str">
        <x:f t="shared" si="192"/>
        <x:v>X</x:v>
      </x:c>
      <x:c r="U170" s="552"/>
      <x:c r="V170" s="331"/>
      <x:c r="W170" s="221"/>
      <x:c r="X170" s="223"/>
      <x:c r="Y170" s="334"/>
      <x:c r="Z170" s="334"/>
      <x:c r="AA170" s="29"/>
      <x:c r="AB170" s="486">
        <x:f t="shared" si="193"/>
        <x:v>0</x:v>
      </x:c>
      <x:c r="AC170" s="487">
        <x:f t="shared" si="194"/>
        <x:v>0</x:v>
      </x:c>
      <x:c r="AD170" s="487">
        <x:f t="shared" si="195"/>
        <x:v>0</x:v>
      </x:c>
      <x:c r="AE170" s="487">
        <x:f t="shared" si="196"/>
        <x:v>0</x:v>
      </x:c>
      <x:c r="AF170" s="374" t="str">
        <x:f t="shared" si="197"/>
        <x:v/>
      </x:c>
      <x:c r="AG170" s="93"/>
      <x:c r="AH170" s="488">
        <x:f t="shared" si="198"/>
        <x:v>0</x:v>
      </x:c>
      <x:c r="AI170" s="487">
        <x:f t="shared" si="199"/>
        <x:v>0</x:v>
      </x:c>
      <x:c r="AJ170" s="487">
        <x:f t="shared" si="200"/>
        <x:v>0</x:v>
      </x:c>
      <x:c r="AK170" s="487">
        <x:f t="shared" si="201"/>
        <x:v>0</x:v>
      </x:c>
      <x:c r="AL170" s="374" t="str">
        <x:f t="shared" si="202"/>
        <x:v/>
      </x:c>
      <x:c r="AM170" s="92"/>
      <x:c r="AN170" s="221"/>
      <x:c r="AO170" s="374" t="str">
        <x:f>IF($AP170="","",IF($AN170="세입없음","OK",IF(OR($AP170="재원확인",$AN170=""),"@@",IF(COUNTIF('3. 일입'!$AK$8:$AK$2000,$AN170),"OK","@@"))))</x:f>
        <x:v/>
      </x:c>
      <x:c r="AP170" s="356" t="str">
        <x:f t="shared" si="203"/>
        <x:v/>
      </x:c>
      <x:c r="AQ170" s="374" t="str">
        <x:f>IF(AND($AN170="",$AP170=""),"",IF(AND($AN170&lt;&gt;"",$AP170&lt;&gt;""),IF(AN170="세입없음","OK",IF(VLOOKUP($AN170,'3. 일입'!$AK$7:$AL$2000,2,FALSE)=$AP170,"OK","@@")),"@@"))</x:f>
        <x:v/>
      </x:c>
      <x:c r="AR170" s="93"/>
      <x:c r="AS170" s="533"/>
      <x:c r="AT170" s="374" t="str">
        <x:f>IF($AS170="","",IF($AS170="세입없음","OK",IF(COUNTIF('3. 일입'!$AN$8:$AN$2000,$AS170),"OK","@@")))</x:f>
        <x:v/>
      </x:c>
      <x:c r="AU170" s="356" t="str">
        <x:f t="shared" si="204"/>
        <x:v/>
      </x:c>
      <x:c r="AV170" s="374" t="str">
        <x:f t="shared" si="205"/>
        <x:v/>
      </x:c>
      <x:c r="AW170" s="93"/>
      <x:c r="AX170" s="348"/>
      <x:c r="AY170" s="29"/>
    </x:row>
    <x:row r="171" spans="1:51" s="20" customFormat="1" ht="80.099999999999994" customHeight="1">
      <x:c r="A171" s="155" t="str">
        <x:f>IF(D171="","",COUNTA($C$7:C171)-COUNTBLANK($C$7:C171)+11)</x:f>
        <x:v/>
      </x:c>
      <x:c r="B171" s="156" t="str">
        <x: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x:f>
        <x:v/>
      </x:c>
      <x:c r="C171" s="156" t="str">
        <x:f>IF(D171="","",IF(OR(D171="교육지원과",D171="총무과",D171="인사과"),"직접입력",VLOOKUP(D171,구분표!$A$3:$C$258,3,)))</x:f>
        <x:v/>
      </x:c>
      <x:c r="D171" s="219"/>
      <x:c r="E171" s="213"/>
      <x:c r="F171" s="388" t="str">
        <x:f t="shared" si="206"/>
        <x:v/>
      </x:c>
      <x:c r="G171" s="388" t="str">
        <x:f t="shared" si="206"/>
        <x:v/>
      </x:c>
      <x:c r="H171" s="213"/>
      <x:c r="I171" s="156" t="str">
        <x:f>IF(H171="","",VLOOKUP($H171,구분표!$K$3:$M$151,2,FALSE))</x:f>
        <x:v/>
      </x:c>
      <x:c r="J171" s="156" t="str">
        <x:f>IF(I171="","",VLOOKUP($H171,구분표!$K$3:$M$151,3,FALSE))</x:f>
        <x:v/>
      </x:c>
      <x:c r="K171" s="233"/>
      <x:c r="L171" s="233"/>
      <x:c r="M171" s="459" t="str">
        <x:f t="shared" si="207"/>
        <x:v/>
      </x:c>
      <x:c r="N171" s="459" t="str">
        <x:f t="shared" si="208"/>
        <x:v/>
      </x:c>
      <x:c r="O171" s="461" t="str">
        <x:f t="shared" si="189"/>
        <x:v/>
      </x:c>
      <x:c r="P171" s="460"/>
      <x:c r="Q171" s="461">
        <x:f t="shared" si="190"/>
        <x:v>0</x:v>
      </x:c>
      <x:c r="R171" s="462"/>
      <x:c r="S171" s="463">
        <x:f t="shared" si="191"/>
        <x:v>0</x:v>
      </x:c>
      <x:c r="T171" s="162" t="str">
        <x:f t="shared" si="192"/>
        <x:v>X</x:v>
      </x:c>
      <x:c r="U171" s="552"/>
      <x:c r="V171" s="331"/>
      <x:c r="W171" s="221"/>
      <x:c r="X171" s="223"/>
      <x:c r="Y171" s="334"/>
      <x:c r="Z171" s="334"/>
      <x:c r="AA171" s="29"/>
      <x:c r="AB171" s="486">
        <x:f t="shared" si="193"/>
        <x:v>0</x:v>
      </x:c>
      <x:c r="AC171" s="487">
        <x:f t="shared" si="194"/>
        <x:v>0</x:v>
      </x:c>
      <x:c r="AD171" s="487">
        <x:f t="shared" si="195"/>
        <x:v>0</x:v>
      </x:c>
      <x:c r="AE171" s="487">
        <x:f t="shared" si="196"/>
        <x:v>0</x:v>
      </x:c>
      <x:c r="AF171" s="374" t="str">
        <x:f t="shared" si="197"/>
        <x:v/>
      </x:c>
      <x:c r="AG171" s="93"/>
      <x:c r="AH171" s="488">
        <x:f t="shared" si="198"/>
        <x:v>0</x:v>
      </x:c>
      <x:c r="AI171" s="487">
        <x:f t="shared" si="199"/>
        <x:v>0</x:v>
      </x:c>
      <x:c r="AJ171" s="487">
        <x:f t="shared" si="200"/>
        <x:v>0</x:v>
      </x:c>
      <x:c r="AK171" s="487">
        <x:f t="shared" si="201"/>
        <x:v>0</x:v>
      </x:c>
      <x:c r="AL171" s="374" t="str">
        <x:f t="shared" si="202"/>
        <x:v/>
      </x:c>
      <x:c r="AM171" s="92"/>
      <x:c r="AN171" s="221"/>
      <x:c r="AO171" s="374" t="str">
        <x:f>IF($AP171="","",IF($AN171="세입없음","OK",IF(OR($AP171="재원확인",$AN171=""),"@@",IF(COUNTIF('3. 일입'!$AK$8:$AK$2000,$AN171),"OK","@@"))))</x:f>
        <x:v/>
      </x:c>
      <x:c r="AP171" s="356" t="str">
        <x:f t="shared" si="203"/>
        <x:v/>
      </x:c>
      <x:c r="AQ171" s="374" t="str">
        <x:f>IF(AND($AN171="",$AP171=""),"",IF(AND($AN171&lt;&gt;"",$AP171&lt;&gt;""),IF(AN171="세입없음","OK",IF(VLOOKUP($AN171,'3. 일입'!$AK$7:$AL$2000,2,FALSE)=$AP171,"OK","@@")),"@@"))</x:f>
        <x:v/>
      </x:c>
      <x:c r="AR171" s="93"/>
      <x:c r="AS171" s="533"/>
      <x:c r="AT171" s="374" t="str">
        <x:f>IF($AS171="","",IF($AS171="세입없음","OK",IF(COUNTIF('3. 일입'!$AN$8:$AN$2000,$AS171),"OK","@@")))</x:f>
        <x:v/>
      </x:c>
      <x:c r="AU171" s="356" t="str">
        <x:f t="shared" si="204"/>
        <x:v/>
      </x:c>
      <x:c r="AV171" s="374" t="str">
        <x:f t="shared" si="205"/>
        <x:v/>
      </x:c>
      <x:c r="AW171" s="93"/>
      <x:c r="AX171" s="348"/>
      <x:c r="AY171" s="29"/>
    </x:row>
    <x:row r="172" spans="1:51" s="20" customFormat="1" ht="80.099999999999994" customHeight="1">
      <x:c r="A172" s="155" t="str">
        <x:f>IF(D172="","",COUNTA($C$7:C172)-COUNTBLANK($C$7:C172)+11)</x:f>
        <x:v/>
      </x:c>
      <x:c r="B172" s="156" t="str">
        <x:f>IF(D172="","",IF(OR(C172="직접입력",D172="북부지원"),"직접입력",IF(OR(AND(D172="인사과",C172="의회사무처"),AND(D172="총무과",C172="의회사무처")),"의회운영위원회",IF(OR(C172="직접입력",D172="북부지원"),"직접입력",IF(OR(AND(D172="인사과",C172="자치행정국"),AND(D172="총무과",C172="자치행정국")),"안전행정위원회",VLOOKUP(D172,구분표!$A$3:$C$258,2,))))))</x:f>
        <x:v/>
      </x:c>
      <x:c r="C172" s="156" t="str">
        <x:f>IF(D172="","",IF(OR(D172="교육지원과",D172="총무과",D172="인사과"),"직접입력",VLOOKUP(D172,구분표!$A$3:$C$258,3,)))</x:f>
        <x:v/>
      </x:c>
      <x:c r="D172" s="219"/>
      <x:c r="E172" s="213"/>
      <x:c r="F172" s="388" t="str">
        <x:f t="shared" si="206"/>
        <x:v/>
      </x:c>
      <x:c r="G172" s="388" t="str">
        <x:f t="shared" si="206"/>
        <x:v/>
      </x:c>
      <x:c r="H172" s="213"/>
      <x:c r="I172" s="156" t="str">
        <x:f>IF(H172="","",VLOOKUP($H172,구분표!$K$3:$M$151,2,FALSE))</x:f>
        <x:v/>
      </x:c>
      <x:c r="J172" s="156" t="str">
        <x:f>IF(I172="","",VLOOKUP($H172,구분표!$K$3:$M$151,3,FALSE))</x:f>
        <x:v/>
      </x:c>
      <x:c r="K172" s="233"/>
      <x:c r="L172" s="233"/>
      <x:c r="M172" s="459" t="str">
        <x:f t="shared" si="207"/>
        <x:v/>
      </x:c>
      <x:c r="N172" s="459" t="str">
        <x:f t="shared" si="208"/>
        <x:v/>
      </x:c>
      <x:c r="O172" s="461" t="str">
        <x:f t="shared" si="189"/>
        <x:v/>
      </x:c>
      <x:c r="P172" s="460"/>
      <x:c r="Q172" s="461">
        <x:f t="shared" si="190"/>
        <x:v>0</x:v>
      </x:c>
      <x:c r="R172" s="462"/>
      <x:c r="S172" s="463">
        <x:f t="shared" si="191"/>
        <x:v>0</x:v>
      </x:c>
      <x:c r="T172" s="162" t="str">
        <x:f t="shared" si="192"/>
        <x:v>X</x:v>
      </x:c>
      <x:c r="U172" s="552"/>
      <x:c r="V172" s="331"/>
      <x:c r="W172" s="221"/>
      <x:c r="X172" s="223"/>
      <x:c r="Y172" s="334"/>
      <x:c r="Z172" s="334"/>
      <x:c r="AA172" s="29"/>
      <x:c r="AB172" s="486">
        <x:f t="shared" si="193"/>
        <x:v>0</x:v>
      </x:c>
      <x:c r="AC172" s="487">
        <x:f t="shared" si="194"/>
        <x:v>0</x:v>
      </x:c>
      <x:c r="AD172" s="487">
        <x:f t="shared" si="195"/>
        <x:v>0</x:v>
      </x:c>
      <x:c r="AE172" s="487">
        <x:f t="shared" si="196"/>
        <x:v>0</x:v>
      </x:c>
      <x:c r="AF172" s="374" t="str">
        <x:f t="shared" si="197"/>
        <x:v/>
      </x:c>
      <x:c r="AG172" s="93"/>
      <x:c r="AH172" s="488">
        <x:f t="shared" si="198"/>
        <x:v>0</x:v>
      </x:c>
      <x:c r="AI172" s="487">
        <x:f t="shared" si="199"/>
        <x:v>0</x:v>
      </x:c>
      <x:c r="AJ172" s="487">
        <x:f t="shared" si="200"/>
        <x:v>0</x:v>
      </x:c>
      <x:c r="AK172" s="487">
        <x:f t="shared" si="201"/>
        <x:v>0</x:v>
      </x:c>
      <x:c r="AL172" s="374" t="str">
        <x:f t="shared" si="202"/>
        <x:v/>
      </x:c>
      <x:c r="AM172" s="92"/>
      <x:c r="AN172" s="221"/>
      <x:c r="AO172" s="374" t="str">
        <x:f>IF($AP172="","",IF($AN172="세입없음","OK",IF(OR($AP172="재원확인",$AN172=""),"@@",IF(COUNTIF('3. 일입'!$AK$8:$AK$2000,$AN172),"OK","@@"))))</x:f>
        <x:v/>
      </x:c>
      <x:c r="AP172" s="356" t="str">
        <x:f t="shared" si="203"/>
        <x:v/>
      </x:c>
      <x:c r="AQ172" s="374" t="str">
        <x:f>IF(AND($AN172="",$AP172=""),"",IF(AND($AN172&lt;&gt;"",$AP172&lt;&gt;""),IF(AN172="세입없음","OK",IF(VLOOKUP($AN172,'3. 일입'!$AK$7:$AL$2000,2,FALSE)=$AP172,"OK","@@")),"@@"))</x:f>
        <x:v/>
      </x:c>
      <x:c r="AR172" s="93"/>
      <x:c r="AS172" s="533"/>
      <x:c r="AT172" s="374" t="str">
        <x:f>IF($AS172="","",IF($AS172="세입없음","OK",IF(COUNTIF('3. 일입'!$AN$8:$AN$2000,$AS172),"OK","@@")))</x:f>
        <x:v/>
      </x:c>
      <x:c r="AU172" s="356" t="str">
        <x:f t="shared" si="204"/>
        <x:v/>
      </x:c>
      <x:c r="AV172" s="374" t="str">
        <x:f t="shared" si="205"/>
        <x:v/>
      </x:c>
      <x:c r="AW172" s="93"/>
      <x:c r="AX172" s="348"/>
      <x:c r="AY172" s="29"/>
    </x:row>
    <x:row r="173" spans="1:51" s="20" customFormat="1" ht="80.099999999999994" customHeight="1">
      <x:c r="A173" s="155" t="str">
        <x:f>IF(D173="","",COUNTA($C$7:C173)-COUNTBLANK($C$7:C173)+11)</x:f>
        <x:v/>
      </x:c>
      <x:c r="B173" s="156" t="str">
        <x:f>IF(D173="","",IF(OR(C173="직접입력",D173="북부지원"),"직접입력",IF(OR(AND(D173="인사과",C173="의회사무처"),AND(D173="총무과",C173="의회사무처")),"의회운영위원회",IF(OR(C173="직접입력",D173="북부지원"),"직접입력",IF(OR(AND(D173="인사과",C173="자치행정국"),AND(D173="총무과",C173="자치행정국")),"안전행정위원회",VLOOKUP(D173,구분표!$A$3:$C$258,2,))))))</x:f>
        <x:v/>
      </x:c>
      <x:c r="C173" s="156" t="str">
        <x:f>IF(D173="","",IF(OR(D173="교육지원과",D173="총무과",D173="인사과"),"직접입력",VLOOKUP(D173,구분표!$A$3:$C$258,3,)))</x:f>
        <x:v/>
      </x:c>
      <x:c r="D173" s="219"/>
      <x:c r="E173" s="213"/>
      <x:c r="F173" s="388" t="str">
        <x:f t="shared" si="206"/>
        <x:v/>
      </x:c>
      <x:c r="G173" s="388" t="str">
        <x:f t="shared" si="206"/>
        <x:v/>
      </x:c>
      <x:c r="H173" s="213"/>
      <x:c r="I173" s="156" t="str">
        <x:f>IF(H173="","",VLOOKUP($H173,구분표!$K$3:$M$151,2,FALSE))</x:f>
        <x:v/>
      </x:c>
      <x:c r="J173" s="156" t="str">
        <x:f>IF(I173="","",VLOOKUP($H173,구분표!$K$3:$M$151,3,FALSE))</x:f>
        <x:v/>
      </x:c>
      <x:c r="K173" s="233"/>
      <x:c r="L173" s="233"/>
      <x:c r="M173" s="459" t="str">
        <x:f t="shared" si="207"/>
        <x:v/>
      </x:c>
      <x:c r="N173" s="459" t="str">
        <x:f t="shared" si="208"/>
        <x:v/>
      </x:c>
      <x:c r="O173" s="461" t="str">
        <x:f t="shared" si="189"/>
        <x:v/>
      </x:c>
      <x:c r="P173" s="460"/>
      <x:c r="Q173" s="461">
        <x:f t="shared" si="190"/>
        <x:v>0</x:v>
      </x:c>
      <x:c r="R173" s="462"/>
      <x:c r="S173" s="463">
        <x:f t="shared" si="191"/>
        <x:v>0</x:v>
      </x:c>
      <x:c r="T173" s="162" t="str">
        <x:f t="shared" si="192"/>
        <x:v>X</x:v>
      </x:c>
      <x:c r="U173" s="552"/>
      <x:c r="V173" s="331"/>
      <x:c r="W173" s="221"/>
      <x:c r="X173" s="223"/>
      <x:c r="Y173" s="334"/>
      <x:c r="Z173" s="334"/>
      <x:c r="AA173" s="29"/>
      <x:c r="AB173" s="486">
        <x:f t="shared" si="193"/>
        <x:v>0</x:v>
      </x:c>
      <x:c r="AC173" s="487">
        <x:f t="shared" si="194"/>
        <x:v>0</x:v>
      </x:c>
      <x:c r="AD173" s="487">
        <x:f t="shared" si="195"/>
        <x:v>0</x:v>
      </x:c>
      <x:c r="AE173" s="487">
        <x:f t="shared" si="196"/>
        <x:v>0</x:v>
      </x:c>
      <x:c r="AF173" s="374" t="str">
        <x:f t="shared" si="197"/>
        <x:v/>
      </x:c>
      <x:c r="AG173" s="93"/>
      <x:c r="AH173" s="488">
        <x:f t="shared" si="198"/>
        <x:v>0</x:v>
      </x:c>
      <x:c r="AI173" s="487">
        <x:f t="shared" si="199"/>
        <x:v>0</x:v>
      </x:c>
      <x:c r="AJ173" s="487">
        <x:f t="shared" si="200"/>
        <x:v>0</x:v>
      </x:c>
      <x:c r="AK173" s="487">
        <x:f t="shared" si="201"/>
        <x:v>0</x:v>
      </x:c>
      <x:c r="AL173" s="374" t="str">
        <x:f t="shared" si="202"/>
        <x:v/>
      </x:c>
      <x:c r="AM173" s="92"/>
      <x:c r="AN173" s="221"/>
      <x:c r="AO173" s="374" t="str">
        <x:f>IF($AP173="","",IF($AN173="세입없음","OK",IF(OR($AP173="재원확인",$AN173=""),"@@",IF(COUNTIF('3. 일입'!$AK$8:$AK$2000,$AN173),"OK","@@"))))</x:f>
        <x:v/>
      </x:c>
      <x:c r="AP173" s="356" t="str">
        <x:f t="shared" si="203"/>
        <x:v/>
      </x:c>
      <x:c r="AQ173" s="374" t="str">
        <x:f>IF(AND($AN173="",$AP173=""),"",IF(AND($AN173&lt;&gt;"",$AP173&lt;&gt;""),IF(AN173="세입없음","OK",IF(VLOOKUP($AN173,'3. 일입'!$AK$7:$AL$2000,2,FALSE)=$AP173,"OK","@@")),"@@"))</x:f>
        <x:v/>
      </x:c>
      <x:c r="AR173" s="93"/>
      <x:c r="AS173" s="533"/>
      <x:c r="AT173" s="374" t="str">
        <x:f>IF($AS173="","",IF($AS173="세입없음","OK",IF(COUNTIF('3. 일입'!$AN$8:$AN$2000,$AS173),"OK","@@")))</x:f>
        <x:v/>
      </x:c>
      <x:c r="AU173" s="356" t="str">
        <x:f t="shared" si="204"/>
        <x:v/>
      </x:c>
      <x:c r="AV173" s="374" t="str">
        <x:f t="shared" si="205"/>
        <x:v/>
      </x:c>
      <x:c r="AW173" s="93"/>
      <x:c r="AX173" s="348"/>
      <x:c r="AY173" s="29"/>
    </x:row>
    <x:row r="174" spans="1:51" s="20" customFormat="1" ht="80.099999999999994" customHeight="1">
      <x:c r="A174" s="155" t="str">
        <x:f>IF(D174="","",COUNTA($C$7:C174)-COUNTBLANK($C$7:C174)+11)</x:f>
        <x:v/>
      </x:c>
      <x:c r="B174" s="156" t="str">
        <x:f>IF(D174="","",IF(OR(C174="직접입력",D174="북부지원"),"직접입력",IF(OR(AND(D174="인사과",C174="의회사무처"),AND(D174="총무과",C174="의회사무처")),"의회운영위원회",IF(OR(C174="직접입력",D174="북부지원"),"직접입력",IF(OR(AND(D174="인사과",C174="자치행정국"),AND(D174="총무과",C174="자치행정국")),"안전행정위원회",VLOOKUP(D174,구분표!$A$3:$C$258,2,))))))</x:f>
        <x:v/>
      </x:c>
      <x:c r="C174" s="156" t="str">
        <x:f>IF(D174="","",IF(OR(D174="교육지원과",D174="총무과",D174="인사과"),"직접입력",VLOOKUP(D174,구분표!$A$3:$C$258,3,)))</x:f>
        <x:v/>
      </x:c>
      <x:c r="D174" s="219"/>
      <x:c r="E174" s="213"/>
      <x:c r="F174" s="388" t="str">
        <x:f t="shared" si="206"/>
        <x:v/>
      </x:c>
      <x:c r="G174" s="388" t="str">
        <x:f t="shared" si="206"/>
        <x:v/>
      </x:c>
      <x:c r="H174" s="213"/>
      <x:c r="I174" s="156" t="str">
        <x:f>IF(H174="","",VLOOKUP($H174,구분표!$K$3:$M$151,2,FALSE))</x:f>
        <x:v/>
      </x:c>
      <x:c r="J174" s="156" t="str">
        <x:f>IF(I174="","",VLOOKUP($H174,구분표!$K$3:$M$151,3,FALSE))</x:f>
        <x:v/>
      </x:c>
      <x:c r="K174" s="233"/>
      <x:c r="L174" s="233"/>
      <x:c r="M174" s="459" t="str">
        <x:f t="shared" si="207"/>
        <x:v/>
      </x:c>
      <x:c r="N174" s="459" t="str">
        <x:f t="shared" si="208"/>
        <x:v/>
      </x:c>
      <x:c r="O174" s="461" t="str">
        <x:f t="shared" si="189"/>
        <x:v/>
      </x:c>
      <x:c r="P174" s="460"/>
      <x:c r="Q174" s="461">
        <x:f t="shared" si="190"/>
        <x:v>0</x:v>
      </x:c>
      <x:c r="R174" s="462"/>
      <x:c r="S174" s="463">
        <x:f t="shared" si="191"/>
        <x:v>0</x:v>
      </x:c>
      <x:c r="T174" s="162" t="str">
        <x:f t="shared" si="192"/>
        <x:v>X</x:v>
      </x:c>
      <x:c r="U174" s="552"/>
      <x:c r="V174" s="331"/>
      <x:c r="W174" s="221"/>
      <x:c r="X174" s="223"/>
      <x:c r="Y174" s="334"/>
      <x:c r="Z174" s="334"/>
      <x:c r="AA174" s="29"/>
      <x:c r="AB174" s="486">
        <x:f t="shared" si="193"/>
        <x:v>0</x:v>
      </x:c>
      <x:c r="AC174" s="487">
        <x:f t="shared" si="194"/>
        <x:v>0</x:v>
      </x:c>
      <x:c r="AD174" s="487">
        <x:f t="shared" si="195"/>
        <x:v>0</x:v>
      </x:c>
      <x:c r="AE174" s="487">
        <x:f t="shared" si="196"/>
        <x:v>0</x:v>
      </x:c>
      <x:c r="AF174" s="374" t="str">
        <x:f t="shared" si="197"/>
        <x:v/>
      </x:c>
      <x:c r="AG174" s="93"/>
      <x:c r="AH174" s="488">
        <x:f t="shared" si="198"/>
        <x:v>0</x:v>
      </x:c>
      <x:c r="AI174" s="487">
        <x:f t="shared" si="199"/>
        <x:v>0</x:v>
      </x:c>
      <x:c r="AJ174" s="487">
        <x:f t="shared" si="200"/>
        <x:v>0</x:v>
      </x:c>
      <x:c r="AK174" s="487">
        <x:f t="shared" si="201"/>
        <x:v>0</x:v>
      </x:c>
      <x:c r="AL174" s="374" t="str">
        <x:f t="shared" si="202"/>
        <x:v/>
      </x:c>
      <x:c r="AM174" s="92"/>
      <x:c r="AN174" s="221"/>
      <x:c r="AO174" s="374" t="str">
        <x:f>IF($AP174="","",IF($AN174="세입없음","OK",IF(OR($AP174="재원확인",$AN174=""),"@@",IF(COUNTIF('3. 일입'!$AK$8:$AK$2000,$AN174),"OK","@@"))))</x:f>
        <x:v/>
      </x:c>
      <x:c r="AP174" s="356" t="str">
        <x:f t="shared" si="203"/>
        <x:v/>
      </x:c>
      <x:c r="AQ174" s="374" t="str">
        <x:f>IF(AND($AN174="",$AP174=""),"",IF(AND($AN174&lt;&gt;"",$AP174&lt;&gt;""),IF(AN174="세입없음","OK",IF(VLOOKUP($AN174,'3. 일입'!$AK$7:$AL$2000,2,FALSE)=$AP174,"OK","@@")),"@@"))</x:f>
        <x:v/>
      </x:c>
      <x:c r="AR174" s="93"/>
      <x:c r="AS174" s="533"/>
      <x:c r="AT174" s="374" t="str">
        <x:f>IF($AS174="","",IF($AS174="세입없음","OK",IF(COUNTIF('3. 일입'!$AN$8:$AN$2000,$AS174),"OK","@@")))</x:f>
        <x:v/>
      </x:c>
      <x:c r="AU174" s="356" t="str">
        <x:f t="shared" si="204"/>
        <x:v/>
      </x:c>
      <x:c r="AV174" s="374" t="str">
        <x:f t="shared" si="205"/>
        <x:v/>
      </x:c>
      <x:c r="AW174" s="93"/>
      <x:c r="AX174" s="348"/>
      <x:c r="AY174" s="29"/>
    </x:row>
    <x:row r="175" spans="1:51" s="20" customFormat="1" ht="80.099999999999994" customHeight="1">
      <x:c r="A175" s="155" t="str">
        <x:f>IF(D175="","",COUNTA($C$7:C175)-COUNTBLANK($C$7:C175)+11)</x:f>
        <x:v/>
      </x:c>
      <x:c r="B175" s="156" t="str">
        <x:f>IF(D175="","",IF(OR(C175="직접입력",D175="북부지원"),"직접입력",IF(OR(AND(D175="인사과",C175="의회사무처"),AND(D175="총무과",C175="의회사무처")),"의회운영위원회",IF(OR(C175="직접입력",D175="북부지원"),"직접입력",IF(OR(AND(D175="인사과",C175="자치행정국"),AND(D175="총무과",C175="자치행정국")),"안전행정위원회",VLOOKUP(D175,구분표!$A$3:$C$258,2,))))))</x:f>
        <x:v/>
      </x:c>
      <x:c r="C175" s="156" t="str">
        <x:f>IF(D175="","",IF(OR(D175="교육지원과",D175="총무과",D175="인사과"),"직접입력",VLOOKUP(D175,구분표!$A$3:$C$258,3,)))</x:f>
        <x:v/>
      </x:c>
      <x:c r="D175" s="219"/>
      <x:c r="E175" s="213"/>
      <x:c r="F175" s="388" t="str">
        <x:f t="shared" si="206"/>
        <x:v/>
      </x:c>
      <x:c r="G175" s="388" t="str">
        <x:f t="shared" si="206"/>
        <x:v/>
      </x:c>
      <x:c r="H175" s="213"/>
      <x:c r="I175" s="156" t="str">
        <x:f>IF(H175="","",VLOOKUP($H175,구분표!$K$3:$M$151,2,FALSE))</x:f>
        <x:v/>
      </x:c>
      <x:c r="J175" s="156" t="str">
        <x:f>IF(I175="","",VLOOKUP($H175,구분표!$K$3:$M$151,3,FALSE))</x:f>
        <x:v/>
      </x:c>
      <x:c r="K175" s="233"/>
      <x:c r="L175" s="233"/>
      <x:c r="M175" s="459" t="str">
        <x:f t="shared" si="207"/>
        <x:v/>
      </x:c>
      <x:c r="N175" s="459" t="str">
        <x:f t="shared" si="208"/>
        <x:v/>
      </x:c>
      <x:c r="O175" s="461" t="str">
        <x:f t="shared" si="189"/>
        <x:v/>
      </x:c>
      <x:c r="P175" s="460"/>
      <x:c r="Q175" s="461">
        <x:f t="shared" si="190"/>
        <x:v>0</x:v>
      </x:c>
      <x:c r="R175" s="462"/>
      <x:c r="S175" s="463">
        <x:f t="shared" si="191"/>
        <x:v>0</x:v>
      </x:c>
      <x:c r="T175" s="162" t="str">
        <x:f t="shared" si="192"/>
        <x:v>X</x:v>
      </x:c>
      <x:c r="U175" s="552"/>
      <x:c r="V175" s="331"/>
      <x:c r="W175" s="221"/>
      <x:c r="X175" s="223"/>
      <x:c r="Y175" s="334"/>
      <x:c r="Z175" s="334"/>
      <x:c r="AA175" s="29"/>
      <x:c r="AB175" s="486">
        <x:f t="shared" si="193"/>
        <x:v>0</x:v>
      </x:c>
      <x:c r="AC175" s="487">
        <x:f t="shared" si="194"/>
        <x:v>0</x:v>
      </x:c>
      <x:c r="AD175" s="487">
        <x:f t="shared" si="195"/>
        <x:v>0</x:v>
      </x:c>
      <x:c r="AE175" s="487">
        <x:f t="shared" si="196"/>
        <x:v>0</x:v>
      </x:c>
      <x:c r="AF175" s="374" t="str">
        <x:f t="shared" si="197"/>
        <x:v/>
      </x:c>
      <x:c r="AG175" s="93"/>
      <x:c r="AH175" s="488">
        <x:f t="shared" si="198"/>
        <x:v>0</x:v>
      </x:c>
      <x:c r="AI175" s="487">
        <x:f t="shared" si="199"/>
        <x:v>0</x:v>
      </x:c>
      <x:c r="AJ175" s="487">
        <x:f t="shared" si="200"/>
        <x:v>0</x:v>
      </x:c>
      <x:c r="AK175" s="487">
        <x:f t="shared" si="201"/>
        <x:v>0</x:v>
      </x:c>
      <x:c r="AL175" s="374" t="str">
        <x:f t="shared" si="202"/>
        <x:v/>
      </x:c>
      <x:c r="AM175" s="92"/>
      <x:c r="AN175" s="221"/>
      <x:c r="AO175" s="374" t="str">
        <x:f>IF($AP175="","",IF($AN175="세입없음","OK",IF(OR($AP175="재원확인",$AN175=""),"@@",IF(COUNTIF('3. 일입'!$AK$8:$AK$2000,$AN175),"OK","@@"))))</x:f>
        <x:v/>
      </x:c>
      <x:c r="AP175" s="356" t="str">
        <x:f t="shared" si="203"/>
        <x:v/>
      </x:c>
      <x:c r="AQ175" s="374" t="str">
        <x:f>IF(AND($AN175="",$AP175=""),"",IF(AND($AN175&lt;&gt;"",$AP175&lt;&gt;""),IF(AN175="세입없음","OK",IF(VLOOKUP($AN175,'3. 일입'!$AK$7:$AL$2000,2,FALSE)=$AP175,"OK","@@")),"@@"))</x:f>
        <x:v/>
      </x:c>
      <x:c r="AR175" s="93"/>
      <x:c r="AS175" s="533"/>
      <x:c r="AT175" s="374" t="str">
        <x:f>IF($AS175="","",IF($AS175="세입없음","OK",IF(COUNTIF('3. 일입'!$AN$8:$AN$2000,$AS175),"OK","@@")))</x:f>
        <x:v/>
      </x:c>
      <x:c r="AU175" s="356" t="str">
        <x:f t="shared" si="204"/>
        <x:v/>
      </x:c>
      <x:c r="AV175" s="374" t="str">
        <x:f t="shared" si="205"/>
        <x:v/>
      </x:c>
      <x:c r="AW175" s="93"/>
      <x:c r="AX175" s="348"/>
      <x:c r="AY175" s="29"/>
    </x:row>
    <x:row r="176" spans="1:51" s="20" customFormat="1" ht="80.099999999999994" customHeight="1">
      <x:c r="A176" s="155" t="str">
        <x:f>IF(D176="","",COUNTA($C$7:C176)-COUNTBLANK($C$7:C176)+11)</x:f>
        <x:v/>
      </x:c>
      <x:c r="B176" s="156" t="str">
        <x:f>IF(D176="","",IF(OR(C176="직접입력",D176="북부지원"),"직접입력",IF(OR(AND(D176="인사과",C176="의회사무처"),AND(D176="총무과",C176="의회사무처")),"의회운영위원회",IF(OR(C176="직접입력",D176="북부지원"),"직접입력",IF(OR(AND(D176="인사과",C176="자치행정국"),AND(D176="총무과",C176="자치행정국")),"안전행정위원회",VLOOKUP(D176,구분표!$A$3:$C$258,2,))))))</x:f>
        <x:v/>
      </x:c>
      <x:c r="C176" s="156" t="str">
        <x:f>IF(D176="","",IF(OR(D176="교육지원과",D176="총무과",D176="인사과"),"직접입력",VLOOKUP(D176,구분표!$A$3:$C$258,3,)))</x:f>
        <x:v/>
      </x:c>
      <x:c r="D176" s="219"/>
      <x:c r="E176" s="213"/>
      <x:c r="F176" s="388" t="str">
        <x:f t="shared" si="206"/>
        <x:v/>
      </x:c>
      <x:c r="G176" s="388" t="str">
        <x:f t="shared" si="206"/>
        <x:v/>
      </x:c>
      <x:c r="H176" s="213"/>
      <x:c r="I176" s="156" t="str">
        <x:f>IF(H176="","",VLOOKUP($H176,구분표!$K$3:$M$151,2,FALSE))</x:f>
        <x:v/>
      </x:c>
      <x:c r="J176" s="156" t="str">
        <x:f>IF(I176="","",VLOOKUP($H176,구분표!$K$3:$M$151,3,FALSE))</x:f>
        <x:v/>
      </x:c>
      <x:c r="K176" s="233"/>
      <x:c r="L176" s="233"/>
      <x:c r="M176" s="459" t="str">
        <x:f t="shared" si="207"/>
        <x:v/>
      </x:c>
      <x:c r="N176" s="459" t="str">
        <x:f t="shared" si="208"/>
        <x:v/>
      </x:c>
      <x:c r="O176" s="461" t="str">
        <x:f t="shared" si="189"/>
        <x:v/>
      </x:c>
      <x:c r="P176" s="460"/>
      <x:c r="Q176" s="461">
        <x:f t="shared" si="190"/>
        <x:v>0</x:v>
      </x:c>
      <x:c r="R176" s="462"/>
      <x:c r="S176" s="463">
        <x:f t="shared" si="191"/>
        <x:v>0</x:v>
      </x:c>
      <x:c r="T176" s="162" t="str">
        <x:f t="shared" si="192"/>
        <x:v>X</x:v>
      </x:c>
      <x:c r="U176" s="552"/>
      <x:c r="V176" s="331"/>
      <x:c r="W176" s="221"/>
      <x:c r="X176" s="223"/>
      <x:c r="Y176" s="334"/>
      <x:c r="Z176" s="334"/>
      <x:c r="AA176" s="29"/>
      <x:c r="AB176" s="486">
        <x:f t="shared" si="193"/>
        <x:v>0</x:v>
      </x:c>
      <x:c r="AC176" s="487">
        <x:f t="shared" si="194"/>
        <x:v>0</x:v>
      </x:c>
      <x:c r="AD176" s="487">
        <x:f t="shared" si="195"/>
        <x:v>0</x:v>
      </x:c>
      <x:c r="AE176" s="487">
        <x:f t="shared" si="196"/>
        <x:v>0</x:v>
      </x:c>
      <x:c r="AF176" s="374" t="str">
        <x:f t="shared" si="197"/>
        <x:v/>
      </x:c>
      <x:c r="AG176" s="93"/>
      <x:c r="AH176" s="488">
        <x:f t="shared" si="198"/>
        <x:v>0</x:v>
      </x:c>
      <x:c r="AI176" s="487">
        <x:f t="shared" si="199"/>
        <x:v>0</x:v>
      </x:c>
      <x:c r="AJ176" s="487">
        <x:f t="shared" si="200"/>
        <x:v>0</x:v>
      </x:c>
      <x:c r="AK176" s="487">
        <x:f t="shared" si="201"/>
        <x:v>0</x:v>
      </x:c>
      <x:c r="AL176" s="374" t="str">
        <x:f t="shared" si="202"/>
        <x:v/>
      </x:c>
      <x:c r="AM176" s="92"/>
      <x:c r="AN176" s="221"/>
      <x:c r="AO176" s="374" t="str">
        <x:f>IF($AP176="","",IF($AN176="세입없음","OK",IF(OR($AP176="재원확인",$AN176=""),"@@",IF(COUNTIF('3. 일입'!$AK$8:$AK$2000,$AN176),"OK","@@"))))</x:f>
        <x:v/>
      </x:c>
      <x:c r="AP176" s="356" t="str">
        <x:f t="shared" si="203"/>
        <x:v/>
      </x:c>
      <x:c r="AQ176" s="374" t="str">
        <x:f>IF(AND($AN176="",$AP176=""),"",IF(AND($AN176&lt;&gt;"",$AP176&lt;&gt;""),IF(AN176="세입없음","OK",IF(VLOOKUP($AN176,'3. 일입'!$AK$7:$AL$2000,2,FALSE)=$AP176,"OK","@@")),"@@"))</x:f>
        <x:v/>
      </x:c>
      <x:c r="AR176" s="93"/>
      <x:c r="AS176" s="533"/>
      <x:c r="AT176" s="374" t="str">
        <x:f>IF($AS176="","",IF($AS176="세입없음","OK",IF(COUNTIF('3. 일입'!$AN$8:$AN$2000,$AS176),"OK","@@")))</x:f>
        <x:v/>
      </x:c>
      <x:c r="AU176" s="356" t="str">
        <x:f t="shared" si="204"/>
        <x:v/>
      </x:c>
      <x:c r="AV176" s="374" t="str">
        <x:f t="shared" si="205"/>
        <x:v/>
      </x:c>
      <x:c r="AW176" s="93"/>
      <x:c r="AX176" s="348"/>
      <x:c r="AY176" s="29"/>
    </x:row>
    <x:row r="177" spans="1:51" s="20" customFormat="1" ht="80.099999999999994" customHeight="1">
      <x:c r="A177" s="155" t="str">
        <x:f>IF(D177="","",COUNTA($C$7:C177)-COUNTBLANK($C$7:C177)+11)</x:f>
        <x:v/>
      </x:c>
      <x:c r="B177" s="156" t="str">
        <x:f>IF(D177="","",IF(OR(C177="직접입력",D177="북부지원"),"직접입력",IF(OR(AND(D177="인사과",C177="의회사무처"),AND(D177="총무과",C177="의회사무처")),"의회운영위원회",IF(OR(C177="직접입력",D177="북부지원"),"직접입력",IF(OR(AND(D177="인사과",C177="자치행정국"),AND(D177="총무과",C177="자치행정국")),"안전행정위원회",VLOOKUP(D177,구분표!$A$3:$C$258,2,))))))</x:f>
        <x:v/>
      </x:c>
      <x:c r="C177" s="156" t="str">
        <x:f>IF(D177="","",IF(OR(D177="교육지원과",D177="총무과",D177="인사과"),"직접입력",VLOOKUP(D177,구분표!$A$3:$C$258,3,)))</x:f>
        <x:v/>
      </x:c>
      <x:c r="D177" s="219"/>
      <x:c r="E177" s="213"/>
      <x:c r="F177" s="388" t="str">
        <x:f t="shared" si="206"/>
        <x:v/>
      </x:c>
      <x:c r="G177" s="388" t="str">
        <x:f t="shared" si="206"/>
        <x:v/>
      </x:c>
      <x:c r="H177" s="213"/>
      <x:c r="I177" s="156" t="str">
        <x:f>IF(H177="","",VLOOKUP($H177,구분표!$K$3:$M$151,2,FALSE))</x:f>
        <x:v/>
      </x:c>
      <x:c r="J177" s="156" t="str">
        <x:f>IF(I177="","",VLOOKUP($H177,구분표!$K$3:$M$151,3,FALSE))</x:f>
        <x:v/>
      </x:c>
      <x:c r="K177" s="233"/>
      <x:c r="L177" s="233"/>
      <x:c r="M177" s="459" t="str">
        <x:f t="shared" si="207"/>
        <x:v/>
      </x:c>
      <x:c r="N177" s="459" t="str">
        <x:f t="shared" si="208"/>
        <x:v/>
      </x:c>
      <x:c r="O177" s="461" t="str">
        <x:f t="shared" si="189"/>
        <x:v/>
      </x:c>
      <x:c r="P177" s="460"/>
      <x:c r="Q177" s="461">
        <x:f t="shared" si="190"/>
        <x:v>0</x:v>
      </x:c>
      <x:c r="R177" s="462"/>
      <x:c r="S177" s="463">
        <x:f t="shared" si="191"/>
        <x:v>0</x:v>
      </x:c>
      <x:c r="T177" s="162" t="str">
        <x:f t="shared" si="192"/>
        <x:v>X</x:v>
      </x:c>
      <x:c r="U177" s="552"/>
      <x:c r="V177" s="331"/>
      <x:c r="W177" s="221"/>
      <x:c r="X177" s="223"/>
      <x:c r="Y177" s="334"/>
      <x:c r="Z177" s="334"/>
      <x:c r="AA177" s="29"/>
      <x:c r="AB177" s="486">
        <x:f t="shared" si="193"/>
        <x:v>0</x:v>
      </x:c>
      <x:c r="AC177" s="487">
        <x:f t="shared" si="194"/>
        <x:v>0</x:v>
      </x:c>
      <x:c r="AD177" s="487">
        <x:f t="shared" si="195"/>
        <x:v>0</x:v>
      </x:c>
      <x:c r="AE177" s="487">
        <x:f t="shared" si="196"/>
        <x:v>0</x:v>
      </x:c>
      <x:c r="AF177" s="374" t="str">
        <x:f t="shared" si="197"/>
        <x:v/>
      </x:c>
      <x:c r="AG177" s="93"/>
      <x:c r="AH177" s="488">
        <x:f t="shared" si="198"/>
        <x:v>0</x:v>
      </x:c>
      <x:c r="AI177" s="487">
        <x:f t="shared" si="199"/>
        <x:v>0</x:v>
      </x:c>
      <x:c r="AJ177" s="487">
        <x:f t="shared" si="200"/>
        <x:v>0</x:v>
      </x:c>
      <x:c r="AK177" s="487">
        <x:f t="shared" si="201"/>
        <x:v>0</x:v>
      </x:c>
      <x:c r="AL177" s="374" t="str">
        <x:f t="shared" si="202"/>
        <x:v/>
      </x:c>
      <x:c r="AM177" s="92"/>
      <x:c r="AN177" s="221"/>
      <x:c r="AO177" s="374" t="str">
        <x:f>IF($AP177="","",IF($AN177="세입없음","OK",IF(OR($AP177="재원확인",$AN177=""),"@@",IF(COUNTIF('3. 일입'!$AK$8:$AK$2000,$AN177),"OK","@@"))))</x:f>
        <x:v/>
      </x:c>
      <x:c r="AP177" s="356" t="str">
        <x:f t="shared" si="203"/>
        <x:v/>
      </x:c>
      <x:c r="AQ177" s="374" t="str">
        <x:f>IF(AND($AN177="",$AP177=""),"",IF(AND($AN177&lt;&gt;"",$AP177&lt;&gt;""),IF(AN177="세입없음","OK",IF(VLOOKUP($AN177,'3. 일입'!$AK$7:$AL$2000,2,FALSE)=$AP177,"OK","@@")),"@@"))</x:f>
        <x:v/>
      </x:c>
      <x:c r="AR177" s="93"/>
      <x:c r="AS177" s="533"/>
      <x:c r="AT177" s="374" t="str">
        <x:f>IF($AS177="","",IF($AS177="세입없음","OK",IF(COUNTIF('3. 일입'!$AN$8:$AN$2000,$AS177),"OK","@@")))</x:f>
        <x:v/>
      </x:c>
      <x:c r="AU177" s="356" t="str">
        <x:f t="shared" si="204"/>
        <x:v/>
      </x:c>
      <x:c r="AV177" s="374" t="str">
        <x:f t="shared" si="205"/>
        <x:v/>
      </x:c>
      <x:c r="AW177" s="93"/>
      <x:c r="AX177" s="348"/>
      <x:c r="AY177" s="29"/>
    </x:row>
    <x:row r="178" spans="1:51" s="20" customFormat="1" ht="80.099999999999994" customHeight="1">
      <x:c r="A178" s="155" t="str">
        <x:f>IF(D178="","",COUNTA($C$7:C178)-COUNTBLANK($C$7:C178)+11)</x:f>
        <x:v/>
      </x:c>
      <x:c r="B178" s="156" t="str">
        <x:f>IF(D178="","",IF(OR(C178="직접입력",D178="북부지원"),"직접입력",IF(OR(AND(D178="인사과",C178="의회사무처"),AND(D178="총무과",C178="의회사무처")),"의회운영위원회",IF(OR(C178="직접입력",D178="북부지원"),"직접입력",IF(OR(AND(D178="인사과",C178="자치행정국"),AND(D178="총무과",C178="자치행정국")),"안전행정위원회",VLOOKUP(D178,구분표!$A$3:$C$258,2,))))))</x:f>
        <x:v/>
      </x:c>
      <x:c r="C178" s="156" t="str">
        <x:f>IF(D178="","",IF(OR(D178="교육지원과",D178="총무과",D178="인사과"),"직접입력",VLOOKUP(D178,구분표!$A$3:$C$258,3,)))</x:f>
        <x:v/>
      </x:c>
      <x:c r="D178" s="219"/>
      <x:c r="E178" s="213"/>
      <x:c r="F178" s="388" t="str">
        <x:f t="shared" si="206"/>
        <x:v/>
      </x:c>
      <x:c r="G178" s="388" t="str">
        <x:f t="shared" si="206"/>
        <x:v/>
      </x:c>
      <x:c r="H178" s="213"/>
      <x:c r="I178" s="156" t="str">
        <x:f>IF(H178="","",VLOOKUP($H178,구분표!$K$3:$M$151,2,FALSE))</x:f>
        <x:v/>
      </x:c>
      <x:c r="J178" s="156" t="str">
        <x:f>IF(I178="","",VLOOKUP($H178,구분표!$K$3:$M$151,3,FALSE))</x:f>
        <x:v/>
      </x:c>
      <x:c r="K178" s="233"/>
      <x:c r="L178" s="233"/>
      <x:c r="M178" s="459" t="str">
        <x:f t="shared" si="207"/>
        <x:v/>
      </x:c>
      <x:c r="N178" s="459" t="str">
        <x:f t="shared" si="208"/>
        <x:v/>
      </x:c>
      <x:c r="O178" s="461" t="str">
        <x:f t="shared" si="189"/>
        <x:v/>
      </x:c>
      <x:c r="P178" s="460"/>
      <x:c r="Q178" s="461">
        <x:f t="shared" si="190"/>
        <x:v>0</x:v>
      </x:c>
      <x:c r="R178" s="462"/>
      <x:c r="S178" s="463">
        <x:f t="shared" si="191"/>
        <x:v>0</x:v>
      </x:c>
      <x:c r="T178" s="162" t="str">
        <x:f t="shared" si="192"/>
        <x:v>X</x:v>
      </x:c>
      <x:c r="U178" s="552"/>
      <x:c r="V178" s="331"/>
      <x:c r="W178" s="221"/>
      <x:c r="X178" s="223"/>
      <x:c r="Y178" s="334"/>
      <x:c r="Z178" s="334"/>
      <x:c r="AA178" s="29"/>
      <x:c r="AB178" s="486">
        <x:f t="shared" si="193"/>
        <x:v>0</x:v>
      </x:c>
      <x:c r="AC178" s="487">
        <x:f t="shared" si="194"/>
        <x:v>0</x:v>
      </x:c>
      <x:c r="AD178" s="487">
        <x:f t="shared" si="195"/>
        <x:v>0</x:v>
      </x:c>
      <x:c r="AE178" s="487">
        <x:f t="shared" si="196"/>
        <x:v>0</x:v>
      </x:c>
      <x:c r="AF178" s="374" t="str">
        <x:f t="shared" si="197"/>
        <x:v/>
      </x:c>
      <x:c r="AG178" s="93"/>
      <x:c r="AH178" s="488">
        <x:f t="shared" si="198"/>
        <x:v>0</x:v>
      </x:c>
      <x:c r="AI178" s="487">
        <x:f t="shared" si="199"/>
        <x:v>0</x:v>
      </x:c>
      <x:c r="AJ178" s="487">
        <x:f t="shared" si="200"/>
        <x:v>0</x:v>
      </x:c>
      <x:c r="AK178" s="487">
        <x:f t="shared" si="201"/>
        <x:v>0</x:v>
      </x:c>
      <x:c r="AL178" s="374" t="str">
        <x:f t="shared" si="202"/>
        <x:v/>
      </x:c>
      <x:c r="AM178" s="92"/>
      <x:c r="AN178" s="221"/>
      <x:c r="AO178" s="374" t="str">
        <x:f>IF($AP178="","",IF($AN178="세입없음","OK",IF(OR($AP178="재원확인",$AN178=""),"@@",IF(COUNTIF('3. 일입'!$AK$8:$AK$2000,$AN178),"OK","@@"))))</x:f>
        <x:v/>
      </x:c>
      <x:c r="AP178" s="356" t="str">
        <x:f t="shared" si="203"/>
        <x:v/>
      </x:c>
      <x:c r="AQ178" s="374" t="str">
        <x:f>IF(AND($AN178="",$AP178=""),"",IF(AND($AN178&lt;&gt;"",$AP178&lt;&gt;""),IF(AN178="세입없음","OK",IF(VLOOKUP($AN178,'3. 일입'!$AK$7:$AL$2000,2,FALSE)=$AP178,"OK","@@")),"@@"))</x:f>
        <x:v/>
      </x:c>
      <x:c r="AR178" s="93"/>
      <x:c r="AS178" s="533"/>
      <x:c r="AT178" s="374" t="str">
        <x:f>IF($AS178="","",IF($AS178="세입없음","OK",IF(COUNTIF('3. 일입'!$AN$8:$AN$2000,$AS178),"OK","@@")))</x:f>
        <x:v/>
      </x:c>
      <x:c r="AU178" s="356" t="str">
        <x:f t="shared" si="204"/>
        <x:v/>
      </x:c>
      <x:c r="AV178" s="374" t="str">
        <x:f t="shared" si="205"/>
        <x:v/>
      </x:c>
      <x:c r="AW178" s="93"/>
      <x:c r="AX178" s="348"/>
      <x:c r="AY178" s="29"/>
    </x:row>
    <x:row r="179" spans="1:51" s="20" customFormat="1" ht="80.099999999999994" customHeight="1">
      <x:c r="A179" s="155" t="str">
        <x:f>IF(D179="","",COUNTA($C$7:C179)-COUNTBLANK($C$7:C179)+11)</x:f>
        <x:v/>
      </x:c>
      <x:c r="B179" s="156" t="str">
        <x:f>IF(D179="","",IF(OR(C179="직접입력",D179="북부지원"),"직접입력",IF(OR(AND(D179="인사과",C179="의회사무처"),AND(D179="총무과",C179="의회사무처")),"의회운영위원회",IF(OR(C179="직접입력",D179="북부지원"),"직접입력",IF(OR(AND(D179="인사과",C179="자치행정국"),AND(D179="총무과",C179="자치행정국")),"안전행정위원회",VLOOKUP(D179,구분표!$A$3:$C$258,2,))))))</x:f>
        <x:v/>
      </x:c>
      <x:c r="C179" s="156" t="str">
        <x:f>IF(D179="","",IF(OR(D179="교육지원과",D179="총무과",D179="인사과"),"직접입력",VLOOKUP(D179,구분표!$A$3:$C$258,3,)))</x:f>
        <x:v/>
      </x:c>
      <x:c r="D179" s="219"/>
      <x:c r="E179" s="213"/>
      <x:c r="F179" s="388" t="str">
        <x:f t="shared" si="206"/>
        <x:v/>
      </x:c>
      <x:c r="G179" s="388" t="str">
        <x:f t="shared" si="206"/>
        <x:v/>
      </x:c>
      <x:c r="H179" s="213"/>
      <x:c r="I179" s="156" t="str">
        <x:f>IF(H179="","",VLOOKUP($H179,구분표!$K$3:$M$151,2,FALSE))</x:f>
        <x:v/>
      </x:c>
      <x:c r="J179" s="156" t="str">
        <x:f>IF(I179="","",VLOOKUP($H179,구분표!$K$3:$M$151,3,FALSE))</x:f>
        <x:v/>
      </x:c>
      <x:c r="K179" s="233"/>
      <x:c r="L179" s="233"/>
      <x:c r="M179" s="459" t="str">
        <x:f t="shared" si="207"/>
        <x:v/>
      </x:c>
      <x:c r="N179" s="459" t="str">
        <x:f t="shared" si="208"/>
        <x:v/>
      </x:c>
      <x:c r="O179" s="461" t="str">
        <x:f t="shared" si="189"/>
        <x:v/>
      </x:c>
      <x:c r="P179" s="460"/>
      <x:c r="Q179" s="461">
        <x:f t="shared" si="190"/>
        <x:v>0</x:v>
      </x:c>
      <x:c r="R179" s="462"/>
      <x:c r="S179" s="463">
        <x:f t="shared" si="191"/>
        <x:v>0</x:v>
      </x:c>
      <x:c r="T179" s="162" t="str">
        <x:f t="shared" si="192"/>
        <x:v>X</x:v>
      </x:c>
      <x:c r="U179" s="552"/>
      <x:c r="V179" s="331"/>
      <x:c r="W179" s="221"/>
      <x:c r="X179" s="223"/>
      <x:c r="Y179" s="334"/>
      <x:c r="Z179" s="334"/>
      <x:c r="AA179" s="29"/>
      <x:c r="AB179" s="486">
        <x:f t="shared" si="193"/>
        <x:v>0</x:v>
      </x:c>
      <x:c r="AC179" s="487">
        <x:f t="shared" si="194"/>
        <x:v>0</x:v>
      </x:c>
      <x:c r="AD179" s="487">
        <x:f t="shared" si="195"/>
        <x:v>0</x:v>
      </x:c>
      <x:c r="AE179" s="487">
        <x:f t="shared" si="196"/>
        <x:v>0</x:v>
      </x:c>
      <x:c r="AF179" s="374" t="str">
        <x:f t="shared" si="197"/>
        <x:v/>
      </x:c>
      <x:c r="AG179" s="93"/>
      <x:c r="AH179" s="488">
        <x:f t="shared" si="198"/>
        <x:v>0</x:v>
      </x:c>
      <x:c r="AI179" s="487">
        <x:f t="shared" si="199"/>
        <x:v>0</x:v>
      </x:c>
      <x:c r="AJ179" s="487">
        <x:f t="shared" si="200"/>
        <x:v>0</x:v>
      </x:c>
      <x:c r="AK179" s="487">
        <x:f t="shared" si="201"/>
        <x:v>0</x:v>
      </x:c>
      <x:c r="AL179" s="374" t="str">
        <x:f t="shared" si="202"/>
        <x:v/>
      </x:c>
      <x:c r="AM179" s="92"/>
      <x:c r="AN179" s="221"/>
      <x:c r="AO179" s="374" t="str">
        <x:f>IF($AP179="","",IF($AN179="세입없음","OK",IF(OR($AP179="재원확인",$AN179=""),"@@",IF(COUNTIF('3. 일입'!$AK$8:$AK$2000,$AN179),"OK","@@"))))</x:f>
        <x:v/>
      </x:c>
      <x:c r="AP179" s="356" t="str">
        <x:f t="shared" si="203"/>
        <x:v/>
      </x:c>
      <x:c r="AQ179" s="374" t="str">
        <x:f>IF(AND($AN179="",$AP179=""),"",IF(AND($AN179&lt;&gt;"",$AP179&lt;&gt;""),IF(AN179="세입없음","OK",IF(VLOOKUP($AN179,'3. 일입'!$AK$7:$AL$2000,2,FALSE)=$AP179,"OK","@@")),"@@"))</x:f>
        <x:v/>
      </x:c>
      <x:c r="AR179" s="93"/>
      <x:c r="AS179" s="533"/>
      <x:c r="AT179" s="374" t="str">
        <x:f>IF($AS179="","",IF($AS179="세입없음","OK",IF(COUNTIF('3. 일입'!$AN$8:$AN$2000,$AS179),"OK","@@")))</x:f>
        <x:v/>
      </x:c>
      <x:c r="AU179" s="356" t="str">
        <x:f t="shared" si="204"/>
        <x:v/>
      </x:c>
      <x:c r="AV179" s="374" t="str">
        <x:f t="shared" si="205"/>
        <x:v/>
      </x:c>
      <x:c r="AW179" s="93"/>
      <x:c r="AX179" s="348"/>
      <x:c r="AY179" s="29"/>
    </x:row>
    <x:row r="180" spans="1:51" s="20" customFormat="1" ht="80.099999999999994" customHeight="1">
      <x:c r="A180" s="155" t="str">
        <x:f>IF(D180="","",COUNTA($C$7:C180)-COUNTBLANK($C$7:C180)+11)</x:f>
        <x:v/>
      </x:c>
      <x:c r="B180" s="156" t="str">
        <x:f>IF(D180="","",IF(OR(C180="직접입력",D180="북부지원"),"직접입력",IF(OR(AND(D180="인사과",C180="의회사무처"),AND(D180="총무과",C180="의회사무처")),"의회운영위원회",IF(OR(C180="직접입력",D180="북부지원"),"직접입력",IF(OR(AND(D180="인사과",C180="자치행정국"),AND(D180="총무과",C180="자치행정국")),"안전행정위원회",VLOOKUP(D180,구분표!$A$3:$C$258,2,))))))</x:f>
        <x:v/>
      </x:c>
      <x:c r="C180" s="156" t="str">
        <x:f>IF(D180="","",IF(OR(D180="교육지원과",D180="총무과",D180="인사과"),"직접입력",VLOOKUP(D180,구분표!$A$3:$C$258,3,)))</x:f>
        <x:v/>
      </x:c>
      <x:c r="D180" s="219"/>
      <x:c r="E180" s="213"/>
      <x:c r="F180" s="388" t="str">
        <x:f t="shared" si="206"/>
        <x:v/>
      </x:c>
      <x:c r="G180" s="388" t="str">
        <x:f t="shared" si="206"/>
        <x:v/>
      </x:c>
      <x:c r="H180" s="213"/>
      <x:c r="I180" s="156" t="str">
        <x:f>IF(H180="","",VLOOKUP($H180,구분표!$K$3:$M$151,2,FALSE))</x:f>
        <x:v/>
      </x:c>
      <x:c r="J180" s="156" t="str">
        <x:f>IF(I180="","",VLOOKUP($H180,구분표!$K$3:$M$151,3,FALSE))</x:f>
        <x:v/>
      </x:c>
      <x:c r="K180" s="233"/>
      <x:c r="L180" s="233"/>
      <x:c r="M180" s="459" t="str">
        <x:f t="shared" si="207"/>
        <x:v/>
      </x:c>
      <x:c r="N180" s="459" t="str">
        <x:f t="shared" si="208"/>
        <x:v/>
      </x:c>
      <x:c r="O180" s="461" t="str">
        <x:f t="shared" si="189"/>
        <x:v/>
      </x:c>
      <x:c r="P180" s="460"/>
      <x:c r="Q180" s="461">
        <x:f t="shared" si="190"/>
        <x:v>0</x:v>
      </x:c>
      <x:c r="R180" s="462"/>
      <x:c r="S180" s="463">
        <x:f t="shared" si="191"/>
        <x:v>0</x:v>
      </x:c>
      <x:c r="T180" s="162" t="str">
        <x:f t="shared" si="192"/>
        <x:v>X</x:v>
      </x:c>
      <x:c r="U180" s="552"/>
      <x:c r="V180" s="331"/>
      <x:c r="W180" s="221"/>
      <x:c r="X180" s="223"/>
      <x:c r="Y180" s="334"/>
      <x:c r="Z180" s="334"/>
      <x:c r="AA180" s="29"/>
      <x:c r="AB180" s="486">
        <x:f t="shared" si="193"/>
        <x:v>0</x:v>
      </x:c>
      <x:c r="AC180" s="487">
        <x:f t="shared" si="194"/>
        <x:v>0</x:v>
      </x:c>
      <x:c r="AD180" s="487">
        <x:f t="shared" si="195"/>
        <x:v>0</x:v>
      </x:c>
      <x:c r="AE180" s="487">
        <x:f t="shared" si="196"/>
        <x:v>0</x:v>
      </x:c>
      <x:c r="AF180" s="374" t="str">
        <x:f t="shared" si="197"/>
        <x:v/>
      </x:c>
      <x:c r="AG180" s="93"/>
      <x:c r="AH180" s="488">
        <x:f t="shared" si="198"/>
        <x:v>0</x:v>
      </x:c>
      <x:c r="AI180" s="487">
        <x:f t="shared" si="199"/>
        <x:v>0</x:v>
      </x:c>
      <x:c r="AJ180" s="487">
        <x:f t="shared" si="200"/>
        <x:v>0</x:v>
      </x:c>
      <x:c r="AK180" s="487">
        <x:f t="shared" si="201"/>
        <x:v>0</x:v>
      </x:c>
      <x:c r="AL180" s="374" t="str">
        <x:f t="shared" si="202"/>
        <x:v/>
      </x:c>
      <x:c r="AM180" s="92"/>
      <x:c r="AN180" s="221"/>
      <x:c r="AO180" s="374" t="str">
        <x:f>IF($AP180="","",IF($AN180="세입없음","OK",IF(OR($AP180="재원확인",$AN180=""),"@@",IF(COUNTIF('3. 일입'!$AK$8:$AK$2000,$AN180),"OK","@@"))))</x:f>
        <x:v/>
      </x:c>
      <x:c r="AP180" s="356" t="str">
        <x:f t="shared" si="203"/>
        <x:v/>
      </x:c>
      <x:c r="AQ180" s="374" t="str">
        <x:f>IF(AND($AN180="",$AP180=""),"",IF(AND($AN180&lt;&gt;"",$AP180&lt;&gt;""),IF(AN180="세입없음","OK",IF(VLOOKUP($AN180,'3. 일입'!$AK$7:$AL$2000,2,FALSE)=$AP180,"OK","@@")),"@@"))</x:f>
        <x:v/>
      </x:c>
      <x:c r="AR180" s="93"/>
      <x:c r="AS180" s="533"/>
      <x:c r="AT180" s="374" t="str">
        <x:f>IF($AS180="","",IF($AS180="세입없음","OK",IF(COUNTIF('3. 일입'!$AN$8:$AN$2000,$AS180),"OK","@@")))</x:f>
        <x:v/>
      </x:c>
      <x:c r="AU180" s="356" t="str">
        <x:f t="shared" si="204"/>
        <x:v/>
      </x:c>
      <x:c r="AV180" s="374" t="str">
        <x:f t="shared" si="205"/>
        <x:v/>
      </x:c>
      <x:c r="AW180" s="93"/>
      <x:c r="AX180" s="348"/>
      <x:c r="AY180" s="29"/>
    </x:row>
    <x:row r="181" spans="1:51" s="20" customFormat="1" ht="80.099999999999994" customHeight="1">
      <x:c r="A181" s="155" t="str">
        <x:f>IF(D181="","",COUNTA($C$7:C181)-COUNTBLANK($C$7:C181)+11)</x:f>
        <x:v/>
      </x:c>
      <x:c r="B181" s="156" t="str">
        <x:f>IF(D181="","",IF(OR(C181="직접입력",D181="북부지원"),"직접입력",IF(OR(AND(D181="인사과",C181="의회사무처"),AND(D181="총무과",C181="의회사무처")),"의회운영위원회",IF(OR(C181="직접입력",D181="북부지원"),"직접입력",IF(OR(AND(D181="인사과",C181="자치행정국"),AND(D181="총무과",C181="자치행정국")),"안전행정위원회",VLOOKUP(D181,구분표!$A$3:$C$258,2,))))))</x:f>
        <x:v/>
      </x:c>
      <x:c r="C181" s="156" t="str">
        <x:f>IF(D181="","",IF(OR(D181="교육지원과",D181="총무과",D181="인사과"),"직접입력",VLOOKUP(D181,구분표!$A$3:$C$258,3,)))</x:f>
        <x:v/>
      </x:c>
      <x:c r="D181" s="219"/>
      <x:c r="E181" s="213"/>
      <x:c r="F181" s="388" t="str">
        <x:f t="shared" si="206"/>
        <x:v/>
      </x:c>
      <x:c r="G181" s="388" t="str">
        <x:f t="shared" si="206"/>
        <x:v/>
      </x:c>
      <x:c r="H181" s="213"/>
      <x:c r="I181" s="156" t="str">
        <x:f>IF(H181="","",VLOOKUP($H181,구분표!$K$3:$M$151,2,FALSE))</x:f>
        <x:v/>
      </x:c>
      <x:c r="J181" s="156" t="str">
        <x:f>IF(I181="","",VLOOKUP($H181,구분표!$K$3:$M$151,3,FALSE))</x:f>
        <x:v/>
      </x:c>
      <x:c r="K181" s="233"/>
      <x:c r="L181" s="233"/>
      <x:c r="M181" s="459" t="str">
        <x:f t="shared" si="207"/>
        <x:v/>
      </x:c>
      <x:c r="N181" s="459" t="str">
        <x:f t="shared" si="208"/>
        <x:v/>
      </x:c>
      <x:c r="O181" s="461" t="str">
        <x:f t="shared" si="189"/>
        <x:v/>
      </x:c>
      <x:c r="P181" s="460"/>
      <x:c r="Q181" s="461">
        <x:f t="shared" si="190"/>
        <x:v>0</x:v>
      </x:c>
      <x:c r="R181" s="462"/>
      <x:c r="S181" s="463">
        <x:f t="shared" si="191"/>
        <x:v>0</x:v>
      </x:c>
      <x:c r="T181" s="162" t="str">
        <x:f t="shared" si="192"/>
        <x:v>X</x:v>
      </x:c>
      <x:c r="U181" s="552"/>
      <x:c r="V181" s="331"/>
      <x:c r="W181" s="221"/>
      <x:c r="X181" s="223"/>
      <x:c r="Y181" s="334"/>
      <x:c r="Z181" s="334"/>
      <x:c r="AA181" s="29"/>
      <x:c r="AB181" s="486">
        <x:f t="shared" si="193"/>
        <x:v>0</x:v>
      </x:c>
      <x:c r="AC181" s="487">
        <x:f t="shared" si="194"/>
        <x:v>0</x:v>
      </x:c>
      <x:c r="AD181" s="487">
        <x:f t="shared" si="195"/>
        <x:v>0</x:v>
      </x:c>
      <x:c r="AE181" s="487">
        <x:f t="shared" si="196"/>
        <x:v>0</x:v>
      </x:c>
      <x:c r="AF181" s="374" t="str">
        <x:f t="shared" si="197"/>
        <x:v/>
      </x:c>
      <x:c r="AG181" s="93"/>
      <x:c r="AH181" s="488">
        <x:f t="shared" si="198"/>
        <x:v>0</x:v>
      </x:c>
      <x:c r="AI181" s="487">
        <x:f t="shared" si="199"/>
        <x:v>0</x:v>
      </x:c>
      <x:c r="AJ181" s="487">
        <x:f t="shared" si="200"/>
        <x:v>0</x:v>
      </x:c>
      <x:c r="AK181" s="487">
        <x:f t="shared" si="201"/>
        <x:v>0</x:v>
      </x:c>
      <x:c r="AL181" s="374" t="str">
        <x:f t="shared" si="202"/>
        <x:v/>
      </x:c>
      <x:c r="AM181" s="92"/>
      <x:c r="AN181" s="221"/>
      <x:c r="AO181" s="374" t="str">
        <x:f>IF($AP181="","",IF($AN181="세입없음","OK",IF(OR($AP181="재원확인",$AN181=""),"@@",IF(COUNTIF('3. 일입'!$AK$8:$AK$2000,$AN181),"OK","@@"))))</x:f>
        <x:v/>
      </x:c>
      <x:c r="AP181" s="356" t="str">
        <x:f t="shared" si="203"/>
        <x:v/>
      </x:c>
      <x:c r="AQ181" s="374" t="str">
        <x:f>IF(AND($AN181="",$AP181=""),"",IF(AND($AN181&lt;&gt;"",$AP181&lt;&gt;""),IF(AN181="세입없음","OK",IF(VLOOKUP($AN181,'3. 일입'!$AK$7:$AL$2000,2,FALSE)=$AP181,"OK","@@")),"@@"))</x:f>
        <x:v/>
      </x:c>
      <x:c r="AR181" s="93"/>
      <x:c r="AS181" s="533"/>
      <x:c r="AT181" s="374" t="str">
        <x:f>IF($AS181="","",IF($AS181="세입없음","OK",IF(COUNTIF('3. 일입'!$AN$8:$AN$2000,$AS181),"OK","@@")))</x:f>
        <x:v/>
      </x:c>
      <x:c r="AU181" s="356" t="str">
        <x:f t="shared" si="204"/>
        <x:v/>
      </x:c>
      <x:c r="AV181" s="374" t="str">
        <x:f t="shared" si="205"/>
        <x:v/>
      </x:c>
      <x:c r="AW181" s="93"/>
      <x:c r="AX181" s="348"/>
      <x:c r="AY181" s="29"/>
    </x:row>
    <x:row r="182" spans="1:51" s="20" customFormat="1" ht="80.099999999999994" customHeight="1">
      <x:c r="A182" s="155" t="str">
        <x:f>IF(D182="","",COUNTA($C$7:C182)-COUNTBLANK($C$7:C182)+11)</x:f>
        <x:v/>
      </x:c>
      <x:c r="B182" s="156" t="str">
        <x:f>IF(D182="","",IF(OR(C182="직접입력",D182="북부지원"),"직접입력",IF(OR(AND(D182="인사과",C182="의회사무처"),AND(D182="총무과",C182="의회사무처")),"의회운영위원회",IF(OR(C182="직접입력",D182="북부지원"),"직접입력",IF(OR(AND(D182="인사과",C182="자치행정국"),AND(D182="총무과",C182="자치행정국")),"안전행정위원회",VLOOKUP(D182,구분표!$A$3:$C$258,2,))))))</x:f>
        <x:v/>
      </x:c>
      <x:c r="C182" s="156" t="str">
        <x:f>IF(D182="","",IF(OR(D182="교육지원과",D182="총무과",D182="인사과"),"직접입력",VLOOKUP(D182,구분표!$A$3:$C$258,3,)))</x:f>
        <x:v/>
      </x:c>
      <x:c r="D182" s="219"/>
      <x:c r="E182" s="213"/>
      <x:c r="F182" s="388" t="str">
        <x:f t="shared" si="206"/>
        <x:v/>
      </x:c>
      <x:c r="G182" s="388" t="str">
        <x:f t="shared" si="206"/>
        <x:v/>
      </x:c>
      <x:c r="H182" s="213"/>
      <x:c r="I182" s="156" t="str">
        <x:f>IF(H182="","",VLOOKUP($H182,구분표!$K$3:$M$151,2,FALSE))</x:f>
        <x:v/>
      </x:c>
      <x:c r="J182" s="156" t="str">
        <x:f>IF(I182="","",VLOOKUP($H182,구분표!$K$3:$M$151,3,FALSE))</x:f>
        <x:v/>
      </x:c>
      <x:c r="K182" s="233"/>
      <x:c r="L182" s="233"/>
      <x:c r="M182" s="459" t="str">
        <x:f t="shared" si="207"/>
        <x:v/>
      </x:c>
      <x:c r="N182" s="459" t="str">
        <x:f t="shared" si="208"/>
        <x:v/>
      </x:c>
      <x:c r="O182" s="461" t="str">
        <x:f t="shared" si="189"/>
        <x:v/>
      </x:c>
      <x:c r="P182" s="460"/>
      <x:c r="Q182" s="461">
        <x:f t="shared" si="190"/>
        <x:v>0</x:v>
      </x:c>
      <x:c r="R182" s="462"/>
      <x:c r="S182" s="463">
        <x:f t="shared" si="191"/>
        <x:v>0</x:v>
      </x:c>
      <x:c r="T182" s="162" t="str">
        <x:f t="shared" si="192"/>
        <x:v>X</x:v>
      </x:c>
      <x:c r="U182" s="552"/>
      <x:c r="V182" s="331"/>
      <x:c r="W182" s="221"/>
      <x:c r="X182" s="223"/>
      <x:c r="Y182" s="334"/>
      <x:c r="Z182" s="334"/>
      <x:c r="AA182" s="29"/>
      <x:c r="AB182" s="486">
        <x:f t="shared" si="193"/>
        <x:v>0</x:v>
      </x:c>
      <x:c r="AC182" s="487">
        <x:f t="shared" si="194"/>
        <x:v>0</x:v>
      </x:c>
      <x:c r="AD182" s="487">
        <x:f t="shared" si="195"/>
        <x:v>0</x:v>
      </x:c>
      <x:c r="AE182" s="487">
        <x:f t="shared" si="196"/>
        <x:v>0</x:v>
      </x:c>
      <x:c r="AF182" s="374" t="str">
        <x:f t="shared" si="197"/>
        <x:v/>
      </x:c>
      <x:c r="AG182" s="93"/>
      <x:c r="AH182" s="488">
        <x:f t="shared" si="198"/>
        <x:v>0</x:v>
      </x:c>
      <x:c r="AI182" s="487">
        <x:f t="shared" si="199"/>
        <x:v>0</x:v>
      </x:c>
      <x:c r="AJ182" s="487">
        <x:f t="shared" si="200"/>
        <x:v>0</x:v>
      </x:c>
      <x:c r="AK182" s="487">
        <x:f t="shared" si="201"/>
        <x:v>0</x:v>
      </x:c>
      <x:c r="AL182" s="374" t="str">
        <x:f t="shared" si="202"/>
        <x:v/>
      </x:c>
      <x:c r="AM182" s="92"/>
      <x:c r="AN182" s="221"/>
      <x:c r="AO182" s="374" t="str">
        <x:f>IF($AP182="","",IF($AN182="세입없음","OK",IF(OR($AP182="재원확인",$AN182=""),"@@",IF(COUNTIF('3. 일입'!$AK$8:$AK$2000,$AN182),"OK","@@"))))</x:f>
        <x:v/>
      </x:c>
      <x:c r="AP182" s="356" t="str">
        <x:f t="shared" si="203"/>
        <x:v/>
      </x:c>
      <x:c r="AQ182" s="374" t="str">
        <x:f>IF(AND($AN182="",$AP182=""),"",IF(AND($AN182&lt;&gt;"",$AP182&lt;&gt;""),IF(AN182="세입없음","OK",IF(VLOOKUP($AN182,'3. 일입'!$AK$7:$AL$2000,2,FALSE)=$AP182,"OK","@@")),"@@"))</x:f>
        <x:v/>
      </x:c>
      <x:c r="AR182" s="93"/>
      <x:c r="AS182" s="533"/>
      <x:c r="AT182" s="374" t="str">
        <x:f>IF($AS182="","",IF($AS182="세입없음","OK",IF(COUNTIF('3. 일입'!$AN$8:$AN$2000,$AS182),"OK","@@")))</x:f>
        <x:v/>
      </x:c>
      <x:c r="AU182" s="356" t="str">
        <x:f t="shared" si="204"/>
        <x:v/>
      </x:c>
      <x:c r="AV182" s="374" t="str">
        <x:f t="shared" si="205"/>
        <x:v/>
      </x:c>
      <x:c r="AW182" s="93"/>
      <x:c r="AX182" s="348"/>
      <x:c r="AY182" s="29"/>
    </x:row>
    <x:row r="187" spans="35:35" customHeight="1">
      <x:c r="AI187" s="403"/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autoFilter ref="A6:AY182"/>
  <x:mergeCells count="63">
    <x:mergeCell ref="AH1:AK1"/>
    <x:mergeCell ref="AB1:AE1"/>
    <x:mergeCell ref="A1:Z1"/>
    <x:mergeCell ref="B2:L2"/>
    <x:mergeCell ref="A3:A5"/>
    <x:mergeCell ref="B3:B5"/>
    <x:mergeCell ref="C3:C5"/>
    <x:mergeCell ref="D3:D5"/>
    <x:mergeCell ref="E3:E5"/>
    <x:mergeCell ref="F3:F5"/>
    <x:mergeCell ref="G3:G5"/>
    <x:mergeCell ref="O3:O5"/>
    <x:mergeCell ref="Y3:Y5"/>
    <x:mergeCell ref="Y2:Z2"/>
    <x:mergeCell ref="N3:N5"/>
    <x:mergeCell ref="AX3:AX5"/>
    <x:mergeCell ref="B7:G7"/>
    <x:mergeCell ref="AL4:AL5"/>
    <x:mergeCell ref="AN3:AQ3"/>
    <x:mergeCell ref="AS3:AV3"/>
    <x:mergeCell ref="AU4:AU5"/>
    <x:mergeCell ref="AV4:AV5"/>
    <x:mergeCell ref="AS4:AS5"/>
    <x:mergeCell ref="AT4:AT5"/>
    <x:mergeCell ref="AN4:AN5"/>
    <x:mergeCell ref="AO4:AO5"/>
    <x:mergeCell ref="AP4:AP5"/>
    <x:mergeCell ref="AQ4:AQ5"/>
    <x:mergeCell ref="I3:I5"/>
    <x:mergeCell ref="AB4:AB5"/>
    <x:mergeCell ref="AC4:AE4"/>
    <x:mergeCell ref="B55:G55"/>
    <x:mergeCell ref="P3:P5"/>
    <x:mergeCell ref="AF4:AF5"/>
    <x:mergeCell ref="AH4:AH5"/>
    <x:mergeCell ref="K3:K5"/>
    <x:mergeCell ref="R3:R5"/>
    <x:mergeCell ref="Z3:Z5"/>
    <x:mergeCell ref="AB3:AF3"/>
    <x:mergeCell ref="AH3:AL3"/>
    <x:mergeCell ref="U3:U5"/>
    <x:mergeCell ref="V3:V5"/>
    <x:mergeCell ref="W3:W5"/>
    <x:mergeCell ref="AI4:AK4"/>
    <x:mergeCell ref="B39:G39"/>
    <x:mergeCell ref="B23:G23"/>
    <x:mergeCell ref="M3:M5"/>
    <x:mergeCell ref="AN1:AQ1"/>
    <x:mergeCell ref="AS1:AV1"/>
    <x:mergeCell ref="B167:G167"/>
    <x:mergeCell ref="X3:X5"/>
    <x:mergeCell ref="B71:G71"/>
    <x:mergeCell ref="B87:G87"/>
    <x:mergeCell ref="B103:G103"/>
    <x:mergeCell ref="B119:G119"/>
    <x:mergeCell ref="Q3:Q5"/>
    <x:mergeCell ref="S3:S5"/>
    <x:mergeCell ref="T3:T5"/>
    <x:mergeCell ref="H3:H5"/>
    <x:mergeCell ref="L3:L5"/>
    <x:mergeCell ref="B135:G135"/>
    <x:mergeCell ref="B151:G151"/>
    <x:mergeCell ref="J3:J5"/>
  </x:mergeCells>
  <x:conditionalFormatting sqref="F1:G2 F6:G6 F183:G1048576">
    <x:cfRule type="containsText" dxfId="949" priority="3188" operator="containsText" text="직접입력">
      <x:formula>NOT(ISERROR(SEARCH("직접입력",F1)))</x:formula>
    </x:cfRule>
  </x:conditionalFormatting>
  <x:conditionalFormatting sqref="O1:O2 O183:O1048576 M6:O6">
    <x:cfRule type="containsText" dxfId="948" priority="3187" operator="containsText" text="금액입력">
      <x:formula>NOT(ISERROR(SEARCH("금액입력",M1)))</x:formula>
    </x:cfRule>
  </x:conditionalFormatting>
  <x:conditionalFormatting sqref="K1:K22 K24:K38 K40:K54 K56:K70 K72:K86 K88:K102 K104:K118 K120:K134 K136:K150 K152:K166 K168:K1048576">
    <x:cfRule type="containsText" dxfId="947" priority="3186" operator="containsText" text="세부사업명 입력">
      <x:formula>NOT(ISERROR(SEARCH("세부사업명 입력",K1)))</x:formula>
    </x:cfRule>
  </x:conditionalFormatting>
  <x:conditionalFormatting sqref="L1:N2 L183:N1048576 L3:L22 L24:L38 L40:L54 L56:L70 L72:L86 L88:L102 L104:L118 L120:L134 L136:L150 L152:L166 L168:L182">
    <x:cfRule type="containsText" dxfId="946" priority="3185" operator="containsText" text="부기명 입력">
      <x:formula>NOT(ISERROR(SEARCH("부기명 입력",L1)))</x:formula>
    </x:cfRule>
  </x:conditionalFormatting>
  <x:conditionalFormatting sqref="AD8:AD22 AD24:AD38 AD40:AD54 AD56:AD70 AD72:AD86 AD88:AD102 AD104:AD118 AD120:AD134 AD136:AD150 AD152:AD166 AD168:AD1989">
    <x:cfRule type="expression" dxfId="945" priority="3184">
      <x:formula>FIND("(지방채)",$L8)&gt;0</x:formula>
    </x:cfRule>
  </x:conditionalFormatting>
  <x:conditionalFormatting sqref="AJ8:AJ22 AJ24:AJ38 AJ40:AJ54 AJ56:AJ70 AJ72:AJ86 AJ88:AJ102 AJ104:AJ118 AJ120:AJ134 AJ136:AJ150 AJ152:AJ166 AJ168:AJ1989">
    <x:cfRule type="expression" dxfId="944" priority="3183">
      <x:formula>FIND("(지방채)",$L8)&gt;0</x:formula>
    </x:cfRule>
  </x:conditionalFormatting>
  <x:conditionalFormatting sqref="AS8:AS22 AS24:AS38 AS40:AS54 AS56:AS70 AS72:AS86 AS88:AS102 AS104:AS118 AS120:AS134 AS136:AS150 AS152:AS166 AS168:AS1989">
    <x:cfRule type="expression" dxfId="942" priority="3182">
      <x:formula>FIND("(지방채)",$L8)&gt;0</x:formula>
    </x:cfRule>
    <x:cfRule type="expression" dxfId="943" priority="3179">
      <x:formula>FIND("(지역개발기금)",$L8)&gt;0</x:formula>
    </x:cfRule>
  </x:conditionalFormatting>
  <x:conditionalFormatting sqref="AE8:AE22 AE24:AE38 AE40:AE54 AE56:AE70 AE72:AE86 AE88:AE102 AE104:AE118 AE120:AE134 AE136:AE150 AE152:AE166 AE168:AE1989">
    <x:cfRule type="expression" dxfId="941" priority="3181">
      <x:formula>FIND("(지역개발기금)",$L8)&gt;0</x:formula>
    </x:cfRule>
  </x:conditionalFormatting>
  <x:conditionalFormatting sqref="AK8:AK22 AK24:AK38 AK40:AK54 AK56:AK70 AK72:AK86 AK88:AK102 AK104:AK118 AK120:AK134 AK136:AK150 AK152:AK166 AK168:AK1989">
    <x:cfRule type="expression" dxfId="940" priority="3180">
      <x:formula>FIND("(지역개발기금)",$L8)&gt;0</x:formula>
    </x:cfRule>
  </x:conditionalFormatting>
  <x:conditionalFormatting sqref="AC183:AC1048576 AC1:AC5 AC7:AC7">
    <x:cfRule type="containsText" dxfId="939" priority="3178" operator="containsText" text="국비입력필요">
      <x:formula>NOT(ISERROR(SEARCH("국비입력필요",AC1)))</x:formula>
    </x:cfRule>
  </x:conditionalFormatting>
  <x:conditionalFormatting sqref="AC183:AC1048576 AC1:AC5 AI1:AI5 AC7:AC7 AI188:AI1048576 AI7:AI22 AI24:AI38 AI40:AI54 AI56:AI70 AI72:AI86 AI88:AI102 AI104:AI118 AI120:AI134 AI136:AI150 AI152:AI166 AI168:AI186">
    <x:cfRule type="containsText" dxfId="938" priority="3177" operator="containsText" text="입력필요">
      <x:formula>NOT(ISERROR(SEARCH("입력필요",AC1)))</x:formula>
    </x:cfRule>
  </x:conditionalFormatting>
  <x:conditionalFormatting sqref="O8:O22 O24:O38 O40:O54 O56:O70 O72:O86 O88:O102 O104:O118 O120:O134 O136:O150 O152:O166 O168:O182">
    <x:cfRule type="containsText" dxfId="937" priority="2825" operator="containsText" text="금액입력">
      <x:formula>NOT(ISERROR(SEARCH("금액입력",O8)))</x:formula>
    </x:cfRule>
  </x:conditionalFormatting>
  <x:conditionalFormatting sqref="K167:K167">
    <x:cfRule type="containsText" dxfId="936" priority="2692" operator="containsText" text="세부사업명 입력">
      <x:formula>NOT(ISERROR(SEARCH("세부사업명 입력",K167)))</x:formula>
    </x:cfRule>
  </x:conditionalFormatting>
  <x:conditionalFormatting sqref="L167:L167">
    <x:cfRule type="containsText" dxfId="935" priority="2691" operator="containsText" text="부기명 입력">
      <x:formula>NOT(ISERROR(SEARCH("부기명 입력",L167)))</x:formula>
    </x:cfRule>
  </x:conditionalFormatting>
  <x:conditionalFormatting sqref="O7:S7">
    <x:cfRule type="containsText" dxfId="934" priority="2766" operator="containsText" text="금액입력">
      <x:formula>NOT(ISERROR(SEARCH("금액입력",O7)))</x:formula>
    </x:cfRule>
  </x:conditionalFormatting>
  <x:conditionalFormatting sqref="K23:K23">
    <x:cfRule type="containsText" dxfId="933" priority="2764" operator="containsText" text="세부사업명 입력">
      <x:formula>NOT(ISERROR(SEARCH("세부사업명 입력",K23)))</x:formula>
    </x:cfRule>
  </x:conditionalFormatting>
  <x:conditionalFormatting sqref="L23:L23">
    <x:cfRule type="containsText" dxfId="932" priority="2763" operator="containsText" text="부기명 입력">
      <x:formula>NOT(ISERROR(SEARCH("부기명 입력",L23)))</x:formula>
    </x:cfRule>
  </x:conditionalFormatting>
  <x:conditionalFormatting sqref="O23:S23">
    <x:cfRule type="containsText" dxfId="931" priority="2758" operator="containsText" text="금액입력">
      <x:formula>NOT(ISERROR(SEARCH("금액입력",O23)))</x:formula>
    </x:cfRule>
  </x:conditionalFormatting>
  <x:conditionalFormatting sqref="K39:K39">
    <x:cfRule type="containsText" dxfId="930" priority="2756" operator="containsText" text="세부사업명 입력">
      <x:formula>NOT(ISERROR(SEARCH("세부사업명 입력",K39)))</x:formula>
    </x:cfRule>
  </x:conditionalFormatting>
  <x:conditionalFormatting sqref="L39:L39">
    <x:cfRule type="containsText" dxfId="929" priority="2755" operator="containsText" text="부기명 입력">
      <x:formula>NOT(ISERROR(SEARCH("부기명 입력",L39)))</x:formula>
    </x:cfRule>
  </x:conditionalFormatting>
  <x:conditionalFormatting sqref="O39:S39">
    <x:cfRule type="containsText" dxfId="928" priority="2750" operator="containsText" text="금액입력">
      <x:formula>NOT(ISERROR(SEARCH("금액입력",O39)))</x:formula>
    </x:cfRule>
  </x:conditionalFormatting>
  <x:conditionalFormatting sqref="K55:K55">
    <x:cfRule type="containsText" dxfId="927" priority="2748" operator="containsText" text="세부사업명 입력">
      <x:formula>NOT(ISERROR(SEARCH("세부사업명 입력",K55)))</x:formula>
    </x:cfRule>
  </x:conditionalFormatting>
  <x:conditionalFormatting sqref="L55:L55">
    <x:cfRule type="containsText" dxfId="926" priority="2747" operator="containsText" text="부기명 입력">
      <x:formula>NOT(ISERROR(SEARCH("부기명 입력",L55)))</x:formula>
    </x:cfRule>
  </x:conditionalFormatting>
  <x:conditionalFormatting sqref="O55:S55">
    <x:cfRule type="containsText" dxfId="925" priority="2742" operator="containsText" text="금액입력">
      <x:formula>NOT(ISERROR(SEARCH("금액입력",O55)))</x:formula>
    </x:cfRule>
  </x:conditionalFormatting>
  <x:conditionalFormatting sqref="K71:K71">
    <x:cfRule type="containsText" dxfId="924" priority="2740" operator="containsText" text="세부사업명 입력">
      <x:formula>NOT(ISERROR(SEARCH("세부사업명 입력",K71)))</x:formula>
    </x:cfRule>
  </x:conditionalFormatting>
  <x:conditionalFormatting sqref="L71:L71">
    <x:cfRule type="containsText" dxfId="923" priority="2739" operator="containsText" text="부기명 입력">
      <x:formula>NOT(ISERROR(SEARCH("부기명 입력",L71)))</x:formula>
    </x:cfRule>
  </x:conditionalFormatting>
  <x:conditionalFormatting sqref="O71:S71">
    <x:cfRule type="containsText" dxfId="922" priority="2734" operator="containsText" text="금액입력">
      <x:formula>NOT(ISERROR(SEARCH("금액입력",O71)))</x:formula>
    </x:cfRule>
  </x:conditionalFormatting>
  <x:conditionalFormatting sqref="K87:K87">
    <x:cfRule type="containsText" dxfId="921" priority="2732" operator="containsText" text="세부사업명 입력">
      <x:formula>NOT(ISERROR(SEARCH("세부사업명 입력",K87)))</x:formula>
    </x:cfRule>
  </x:conditionalFormatting>
  <x:conditionalFormatting sqref="L87:L87">
    <x:cfRule type="containsText" dxfId="920" priority="2731" operator="containsText" text="부기명 입력">
      <x:formula>NOT(ISERROR(SEARCH("부기명 입력",L87)))</x:formula>
    </x:cfRule>
  </x:conditionalFormatting>
  <x:conditionalFormatting sqref="O87:S87">
    <x:cfRule type="containsText" dxfId="919" priority="2726" operator="containsText" text="금액입력">
      <x:formula>NOT(ISERROR(SEARCH("금액입력",O87)))</x:formula>
    </x:cfRule>
  </x:conditionalFormatting>
  <x:conditionalFormatting sqref="K103:K103">
    <x:cfRule type="containsText" dxfId="918" priority="2724" operator="containsText" text="세부사업명 입력">
      <x:formula>NOT(ISERROR(SEARCH("세부사업명 입력",K103)))</x:formula>
    </x:cfRule>
  </x:conditionalFormatting>
  <x:conditionalFormatting sqref="L103:L103">
    <x:cfRule type="containsText" dxfId="917" priority="2723" operator="containsText" text="부기명 입력">
      <x:formula>NOT(ISERROR(SEARCH("부기명 입력",L103)))</x:formula>
    </x:cfRule>
  </x:conditionalFormatting>
  <x:conditionalFormatting sqref="O103:S103">
    <x:cfRule type="containsText" dxfId="916" priority="2718" operator="containsText" text="금액입력">
      <x:formula>NOT(ISERROR(SEARCH("금액입력",O103)))</x:formula>
    </x:cfRule>
  </x:conditionalFormatting>
  <x:conditionalFormatting sqref="K119:K119">
    <x:cfRule type="containsText" dxfId="915" priority="2716" operator="containsText" text="세부사업명 입력">
      <x:formula>NOT(ISERROR(SEARCH("세부사업명 입력",K119)))</x:formula>
    </x:cfRule>
  </x:conditionalFormatting>
  <x:conditionalFormatting sqref="L119:L119">
    <x:cfRule type="containsText" dxfId="914" priority="2715" operator="containsText" text="부기명 입력">
      <x:formula>NOT(ISERROR(SEARCH("부기명 입력",L119)))</x:formula>
    </x:cfRule>
  </x:conditionalFormatting>
  <x:conditionalFormatting sqref="O119:S119">
    <x:cfRule type="containsText" dxfId="913" priority="2710" operator="containsText" text="금액입력">
      <x:formula>NOT(ISERROR(SEARCH("금액입력",O119)))</x:formula>
    </x:cfRule>
  </x:conditionalFormatting>
  <x:conditionalFormatting sqref="K135:K135">
    <x:cfRule type="containsText" dxfId="912" priority="2708" operator="containsText" text="세부사업명 입력">
      <x:formula>NOT(ISERROR(SEARCH("세부사업명 입력",K135)))</x:formula>
    </x:cfRule>
  </x:conditionalFormatting>
  <x:conditionalFormatting sqref="L135:L135">
    <x:cfRule type="containsText" dxfId="911" priority="2707" operator="containsText" text="부기명 입력">
      <x:formula>NOT(ISERROR(SEARCH("부기명 입력",L135)))</x:formula>
    </x:cfRule>
  </x:conditionalFormatting>
  <x:conditionalFormatting sqref="O135:S135">
    <x:cfRule type="containsText" dxfId="910" priority="2702" operator="containsText" text="금액입력">
      <x:formula>NOT(ISERROR(SEARCH("금액입력",O135)))</x:formula>
    </x:cfRule>
  </x:conditionalFormatting>
  <x:conditionalFormatting sqref="K151:K151">
    <x:cfRule type="containsText" dxfId="909" priority="2700" operator="containsText" text="세부사업명 입력">
      <x:formula>NOT(ISERROR(SEARCH("세부사업명 입력",K151)))</x:formula>
    </x:cfRule>
  </x:conditionalFormatting>
  <x:conditionalFormatting sqref="L151:L151">
    <x:cfRule type="containsText" dxfId="908" priority="2699" operator="containsText" text="부기명 입력">
      <x:formula>NOT(ISERROR(SEARCH("부기명 입력",L151)))</x:formula>
    </x:cfRule>
  </x:conditionalFormatting>
  <x:conditionalFormatting sqref="O151:S151">
    <x:cfRule type="containsText" dxfId="907" priority="2694" operator="containsText" text="금액입력">
      <x:formula>NOT(ISERROR(SEARCH("금액입력",O151)))</x:formula>
    </x:cfRule>
  </x:conditionalFormatting>
  <x:conditionalFormatting sqref="O167:S167">
    <x:cfRule type="containsText" dxfId="906" priority="2686" operator="containsText" text="금액입력">
      <x:formula>NOT(ISERROR(SEARCH("금액입력",O167)))</x:formula>
    </x:cfRule>
  </x:conditionalFormatting>
  <x:conditionalFormatting sqref="F3:G5">
    <x:cfRule type="containsText" dxfId="905" priority="2629" operator="containsText" text="직접입력">
      <x:formula>NOT(ISERROR(SEARCH("직접입력",F3)))</x:formula>
    </x:cfRule>
  </x:conditionalFormatting>
  <x:conditionalFormatting sqref="O3:O5">
    <x:cfRule type="containsText" dxfId="904" priority="2625" operator="containsText" text="금액입력">
      <x:formula>NOT(ISERROR(SEARCH("금액입력",O3)))</x:formula>
    </x:cfRule>
  </x:conditionalFormatting>
  <x:conditionalFormatting sqref="AC8:AC22 AC24:AC38 AC40:AC54 AC56:AC70 AC72:AC86 AC88:AC102 AC104:AC118 AC120:AC134 AC136:AC150 AC152:AC166 AC168:AC182">
    <x:cfRule type="containsText" dxfId="903" priority="2453" operator="containsText" text="국비입력필요">
      <x:formula>NOT(ISERROR(SEARCH("국비입력필요",AC8)))</x:formula>
    </x:cfRule>
  </x:conditionalFormatting>
  <x:conditionalFormatting sqref="AC8:AC22 AC24:AC38 AC40:AC54 AC56:AC70 AC72:AC86 AC88:AC102 AC104:AC118 AC120:AC134 AC136:AC150 AC152:AC166 AC168:AC182">
    <x:cfRule type="containsText" dxfId="902" priority="2452" operator="containsText" text="입력필요">
      <x:formula>NOT(ISERROR(SEARCH("입력필요",AC8)))</x:formula>
    </x:cfRule>
  </x:conditionalFormatting>
  <x:conditionalFormatting sqref="AS8:AS22 AS24:AS38 AS40:AS54 AS56:AS70 AS72:AS86 AS88:AS102 AS104:AS118 AS120:AS134 AS136:AS150 AS152:AS166 AS168:AS182">
    <x:cfRule type="expression" dxfId="900" priority="2448">
      <x:formula>FIND("(지방채)",$L8)&gt;0</x:formula>
    </x:cfRule>
    <x:cfRule type="expression" dxfId="901" priority="2447">
      <x:formula>FIND("(지역개발기금)",$L8)&gt;0</x:formula>
    </x:cfRule>
  </x:conditionalFormatting>
  <x:conditionalFormatting sqref="AC87:AC87">
    <x:cfRule type="containsText" dxfId="899" priority="628" operator="containsText" text="국비입력필요">
      <x:formula>NOT(ISERROR(SEARCH("국비입력필요",AC87)))</x:formula>
    </x:cfRule>
  </x:conditionalFormatting>
  <x:conditionalFormatting sqref="AC87:AC87 AI87:AI87">
    <x:cfRule type="containsText" dxfId="898" priority="627" operator="containsText" text="입력필요">
      <x:formula>NOT(ISERROR(SEARCH("입력필요",AC87)))</x:formula>
    </x:cfRule>
  </x:conditionalFormatting>
  <x:conditionalFormatting sqref="AV6:AV6 AT6:AT6 AQ6:AQ6 AO6:AO6 AL6:AL6 AF6:AF6 AI187:AI187">
    <x:cfRule type="containsText" dxfId="897" priority="1702" operator="containsText" text="@@">
      <x:formula>NOT(ISERROR(SEARCH("@@",AF6)))</x:formula>
    </x:cfRule>
  </x:conditionalFormatting>
  <x:conditionalFormatting sqref="AF8:AF22 AF24:AF38 AF40:AF54 AF56:AF70 AF72:AF86 AF88:AF102 AF104:AF118 AF120:AF134 AF136:AF150 AF152:AF166 AF168:AF182">
    <x:cfRule type="containsText" dxfId="896" priority="1701" operator="containsText" text="@@">
      <x:formula>NOT(ISERROR(SEARCH("@@",AF8)))</x:formula>
    </x:cfRule>
  </x:conditionalFormatting>
  <x:conditionalFormatting sqref="AQ8:AQ22 AQ24:AQ38 AQ40:AQ54 AQ56:AQ70 AQ72:AQ86 AQ88:AQ102 AQ104:AQ118 AQ120:AQ134 AQ136:AQ150 AQ152:AQ166 AQ168:AQ182">
    <x:cfRule type="containsText" dxfId="895" priority="1699" operator="containsText" text="@@">
      <x:formula>NOT(ISERROR(SEARCH("@@",AQ8)))</x:formula>
    </x:cfRule>
  </x:conditionalFormatting>
  <x:conditionalFormatting sqref="AV8:AV22 AV24:AV38 AV40:AV54 AV56:AV70 AV72:AV86 AV88:AV102 AV104:AV118 AV120:AV134 AV136:AV150 AV152:AV166 AV168:AV182">
    <x:cfRule type="containsText" dxfId="894" priority="1698" operator="containsText" text="@@">
      <x:formula>NOT(ISERROR(SEARCH("@@",AV8)))</x:formula>
    </x:cfRule>
  </x:conditionalFormatting>
  <x:conditionalFormatting sqref="AC71:AC71">
    <x:cfRule type="containsText" dxfId="893" priority="668" operator="containsText" text="국비입력필요">
      <x:formula>NOT(ISERROR(SEARCH("국비입력필요",AC71)))</x:formula>
    </x:cfRule>
  </x:conditionalFormatting>
  <x:conditionalFormatting sqref="AC71:AC71 AI71:AI71">
    <x:cfRule type="containsText" dxfId="892" priority="667" operator="containsText" text="입력필요">
      <x:formula>NOT(ISERROR(SEARCH("입력필요",AC71)))</x:formula>
    </x:cfRule>
  </x:conditionalFormatting>
  <x:conditionalFormatting sqref="AL8:AL22 AL24:AL38 AL40:AL54 AL56:AL70 AL72:AL86 AL88:AL102 AL104:AL118 AL120:AL134 AL136:AL150 AL152:AL166 AL168:AL182">
    <x:cfRule type="containsText" dxfId="891" priority="1125" operator="containsText" text="@@">
      <x:formula>NOT(ISERROR(SEARCH("@@",AL8)))</x:formula>
    </x:cfRule>
  </x:conditionalFormatting>
  <x:conditionalFormatting sqref="AO8:AO22 AO24:AO38 AO40:AO54 AO56:AO70 AO72:AO86 AO88:AO102 AO104:AO118 AO120:AO134 AO136:AO150 AO152:AO166 AO168:AO182">
    <x:cfRule type="containsText" dxfId="890" priority="1118" operator="containsText" text="@@">
      <x:formula>NOT(ISERROR(SEARCH("@@",AO8)))</x:formula>
    </x:cfRule>
  </x:conditionalFormatting>
  <x:conditionalFormatting sqref="AT8:AT22 AT24:AT38 AT40:AT54 AT56:AT70 AT72:AT86 AT88:AT102 AT104:AT118 AT120:AT134 AT136:AT150 AT152:AT166 AT168:AT182">
    <x:cfRule type="containsText" dxfId="889" priority="1117" operator="containsText" text="@@">
      <x:formula>NOT(ISERROR(SEARCH("@@",AT8)))</x:formula>
    </x:cfRule>
  </x:conditionalFormatting>
  <x:conditionalFormatting sqref="AS8:AS22 AS24:AS38 AS40:AS54 AS56:AS70 AS72:AS86 AS88:AS102 AS104:AS118 AS120:AS134 AS136:AS150 AS152:AS166 AS168:AS182">
    <x:cfRule type="expression" dxfId="887" priority="1116">
      <x:formula>FIND("(지방채)",$L8)&gt;0</x:formula>
    </x:cfRule>
    <x:cfRule type="expression" dxfId="888" priority="1115">
      <x:formula>FIND("(지역개발기금)",$L8)&gt;0</x:formula>
    </x:cfRule>
  </x:conditionalFormatting>
  <x:conditionalFormatting sqref="AC55:AC55">
    <x:cfRule type="containsText" dxfId="886" priority="708" operator="containsText" text="국비입력필요">
      <x:formula>NOT(ISERROR(SEARCH("국비입력필요",AC55)))</x:formula>
    </x:cfRule>
  </x:conditionalFormatting>
  <x:conditionalFormatting sqref="AC55:AC55 AI55:AI55">
    <x:cfRule type="containsText" dxfId="885" priority="707" operator="containsText" text="입력필요">
      <x:formula>NOT(ISERROR(SEARCH("입력필요",AC55)))</x:formula>
    </x:cfRule>
  </x:conditionalFormatting>
  <x:conditionalFormatting sqref="AC23:AC23">
    <x:cfRule type="containsText" dxfId="884" priority="788" operator="containsText" text="국비입력필요">
      <x:formula>NOT(ISERROR(SEARCH("국비입력필요",AC23)))</x:formula>
    </x:cfRule>
  </x:conditionalFormatting>
  <x:conditionalFormatting sqref="AC23:AC23 AI23:AI23">
    <x:cfRule type="containsText" dxfId="883" priority="787" operator="containsText" text="입력필요">
      <x:formula>NOT(ISERROR(SEARCH("입력필요",AC23)))</x:formula>
    </x:cfRule>
  </x:conditionalFormatting>
  <x:conditionalFormatting sqref="AC39:AC39">
    <x:cfRule type="containsText" dxfId="882" priority="748" operator="containsText" text="국비입력필요">
      <x:formula>NOT(ISERROR(SEARCH("국비입력필요",AC39)))</x:formula>
    </x:cfRule>
  </x:conditionalFormatting>
  <x:conditionalFormatting sqref="AC39:AC39 AI39:AI39">
    <x:cfRule type="containsText" dxfId="881" priority="747" operator="containsText" text="입력필요">
      <x:formula>NOT(ISERROR(SEARCH("입력필요",AC39)))</x:formula>
    </x:cfRule>
  </x:conditionalFormatting>
  <x:conditionalFormatting sqref="AC103:AC103">
    <x:cfRule type="containsText" dxfId="880" priority="588" operator="containsText" text="국비입력필요">
      <x:formula>NOT(ISERROR(SEARCH("국비입력필요",AC103)))</x:formula>
    </x:cfRule>
  </x:conditionalFormatting>
  <x:conditionalFormatting sqref="AC103:AC103 AI103:AI103">
    <x:cfRule type="containsText" dxfId="879" priority="587" operator="containsText" text="입력필요">
      <x:formula>NOT(ISERROR(SEARCH("입력필요",AC103)))</x:formula>
    </x:cfRule>
  </x:conditionalFormatting>
  <x:conditionalFormatting sqref="AC119:AC119">
    <x:cfRule type="containsText" dxfId="878" priority="548" operator="containsText" text="국비입력필요">
      <x:formula>NOT(ISERROR(SEARCH("국비입력필요",AC119)))</x:formula>
    </x:cfRule>
  </x:conditionalFormatting>
  <x:conditionalFormatting sqref="AC119:AC119 AI119:AI119">
    <x:cfRule type="containsText" dxfId="877" priority="547" operator="containsText" text="입력필요">
      <x:formula>NOT(ISERROR(SEARCH("입력필요",AC119)))</x:formula>
    </x:cfRule>
  </x:conditionalFormatting>
  <x:conditionalFormatting sqref="AC135:AC135">
    <x:cfRule type="containsText" dxfId="876" priority="508" operator="containsText" text="국비입력필요">
      <x:formula>NOT(ISERROR(SEARCH("국비입력필요",AC135)))</x:formula>
    </x:cfRule>
  </x:conditionalFormatting>
  <x:conditionalFormatting sqref="AC135:AC135 AI135:AI135">
    <x:cfRule type="containsText" dxfId="875" priority="507" operator="containsText" text="입력필요">
      <x:formula>NOT(ISERROR(SEARCH("입력필요",AC135)))</x:formula>
    </x:cfRule>
  </x:conditionalFormatting>
  <x:conditionalFormatting sqref="AC151:AC151">
    <x:cfRule type="containsText" dxfId="874" priority="468" operator="containsText" text="국비입력필요">
      <x:formula>NOT(ISERROR(SEARCH("국비입력필요",AC151)))</x:formula>
    </x:cfRule>
  </x:conditionalFormatting>
  <x:conditionalFormatting sqref="AC151:AC151 AI151:AI151">
    <x:cfRule type="containsText" dxfId="873" priority="467" operator="containsText" text="입력필요">
      <x:formula>NOT(ISERROR(SEARCH("입력필요",AC151)))</x:formula>
    </x:cfRule>
  </x:conditionalFormatting>
  <x:conditionalFormatting sqref="AC167:AC167">
    <x:cfRule type="containsText" dxfId="872" priority="428" operator="containsText" text="국비입력필요">
      <x:formula>NOT(ISERROR(SEARCH("국비입력필요",AC167)))</x:formula>
    </x:cfRule>
  </x:conditionalFormatting>
  <x:conditionalFormatting sqref="AC167:AC167 AI167:AI167">
    <x:cfRule type="containsText" dxfId="871" priority="427" operator="containsText" text="입력필요">
      <x:formula>NOT(ISERROR(SEARCH("입력필요",AC167)))</x:formula>
    </x:cfRule>
  </x:conditionalFormatting>
  <x:conditionalFormatting sqref="M3:M5">
    <x:cfRule type="containsText" dxfId="870" priority="394" operator="containsText" text="금액입력">
      <x:formula>NOT(ISERROR(SEARCH("금액입력",M3)))</x:formula>
    </x:cfRule>
  </x:conditionalFormatting>
  <x:conditionalFormatting sqref="N3:N5">
    <x:cfRule type="containsText" dxfId="869" priority="393" operator="containsText" text="금액입력">
      <x:formula>NOT(ISERROR(SEARCH("금액입력",N3)))</x:formula>
    </x:cfRule>
  </x:conditionalFormatting>
  <x:conditionalFormatting sqref="F7:G7 F39:G39 F55:G55 F71:G71 F87:G87 F103:G103 F119:G119 F135:G135 F151:G151 F167:G167 F23:G23">
    <x:cfRule type="containsText" dxfId="868" priority="308" operator="containsText" text="직접입력">
      <x:formula>NOT(ISERROR(SEARCH("직접입력",F7)))</x:formula>
    </x:cfRule>
  </x:conditionalFormatting>
  <x:conditionalFormatting sqref="B8:C22">
    <x:cfRule type="containsText" dxfId="867" priority="306" operator="containsText" text="직접입력">
      <x:formula>NOT(ISERROR(SEARCH("직접입력",B8)))</x:formula>
    </x:cfRule>
  </x:conditionalFormatting>
  <x:conditionalFormatting sqref="C24:C38">
    <x:cfRule type="containsText" dxfId="866" priority="303" operator="containsText" text="직접입력">
      <x:formula>NOT(ISERROR(SEARCH("직접입력",C24)))</x:formula>
    </x:cfRule>
  </x:conditionalFormatting>
  <x:conditionalFormatting sqref="B24:B38">
    <x:cfRule type="containsText" dxfId="865" priority="302" operator="containsText" text="직접입력">
      <x:formula>NOT(ISERROR(SEARCH("직접입력",B24)))</x:formula>
    </x:cfRule>
  </x:conditionalFormatting>
  <x:conditionalFormatting sqref="C40:C54">
    <x:cfRule type="containsText" dxfId="864" priority="299" operator="containsText" text="직접입력">
      <x:formula>NOT(ISERROR(SEARCH("직접입력",C40)))</x:formula>
    </x:cfRule>
  </x:conditionalFormatting>
  <x:conditionalFormatting sqref="B40:B54">
    <x:cfRule type="containsText" dxfId="863" priority="298" operator="containsText" text="직접입력">
      <x:formula>NOT(ISERROR(SEARCH("직접입력",B40)))</x:formula>
    </x:cfRule>
  </x:conditionalFormatting>
  <x:conditionalFormatting sqref="C56:C70">
    <x:cfRule type="containsText" dxfId="862" priority="295" operator="containsText" text="직접입력">
      <x:formula>NOT(ISERROR(SEARCH("직접입력",C56)))</x:formula>
    </x:cfRule>
  </x:conditionalFormatting>
  <x:conditionalFormatting sqref="B56:B70">
    <x:cfRule type="containsText" dxfId="861" priority="294" operator="containsText" text="직접입력">
      <x:formula>NOT(ISERROR(SEARCH("직접입력",B56)))</x:formula>
    </x:cfRule>
  </x:conditionalFormatting>
  <x:conditionalFormatting sqref="C72:C86">
    <x:cfRule type="containsText" dxfId="860" priority="291" operator="containsText" text="직접입력">
      <x:formula>NOT(ISERROR(SEARCH("직접입력",C72)))</x:formula>
    </x:cfRule>
  </x:conditionalFormatting>
  <x:conditionalFormatting sqref="B72:B86">
    <x:cfRule type="containsText" dxfId="859" priority="290" operator="containsText" text="직접입력">
      <x:formula>NOT(ISERROR(SEARCH("직접입력",B72)))</x:formula>
    </x:cfRule>
  </x:conditionalFormatting>
  <x:conditionalFormatting sqref="C88:C102">
    <x:cfRule type="containsText" dxfId="858" priority="287" operator="containsText" text="직접입력">
      <x:formula>NOT(ISERROR(SEARCH("직접입력",C88)))</x:formula>
    </x:cfRule>
  </x:conditionalFormatting>
  <x:conditionalFormatting sqref="B88:B102">
    <x:cfRule type="containsText" dxfId="857" priority="286" operator="containsText" text="직접입력">
      <x:formula>NOT(ISERROR(SEARCH("직접입력",B88)))</x:formula>
    </x:cfRule>
  </x:conditionalFormatting>
  <x:conditionalFormatting sqref="C104:C118">
    <x:cfRule type="containsText" dxfId="856" priority="284" operator="containsText" text="직접입력">
      <x:formula>NOT(ISERROR(SEARCH("직접입력",C104)))</x:formula>
    </x:cfRule>
  </x:conditionalFormatting>
  <x:conditionalFormatting sqref="C104:C118">
    <x:cfRule type="containsText" dxfId="855" priority="283" operator="containsText" text="직접입력">
      <x:formula>NOT(ISERROR(SEARCH("직접입력",C104)))</x:formula>
    </x:cfRule>
  </x:conditionalFormatting>
  <x:conditionalFormatting sqref="B104:B118">
    <x:cfRule type="containsText" dxfId="854" priority="282" operator="containsText" text="직접입력">
      <x:formula>NOT(ISERROR(SEARCH("직접입력",B104)))</x:formula>
    </x:cfRule>
  </x:conditionalFormatting>
  <x:conditionalFormatting sqref="C120:C134">
    <x:cfRule type="containsText" dxfId="853" priority="280" operator="containsText" text="직접입력">
      <x:formula>NOT(ISERROR(SEARCH("직접입력",C120)))</x:formula>
    </x:cfRule>
  </x:conditionalFormatting>
  <x:conditionalFormatting sqref="C120:C134">
    <x:cfRule type="containsText" dxfId="852" priority="279" operator="containsText" text="직접입력">
      <x:formula>NOT(ISERROR(SEARCH("직접입력",C120)))</x:formula>
    </x:cfRule>
  </x:conditionalFormatting>
  <x:conditionalFormatting sqref="B120:B134">
    <x:cfRule type="containsText" dxfId="851" priority="278" operator="containsText" text="직접입력">
      <x:formula>NOT(ISERROR(SEARCH("직접입력",B120)))</x:formula>
    </x:cfRule>
  </x:conditionalFormatting>
  <x:conditionalFormatting sqref="C136:C150">
    <x:cfRule type="containsText" dxfId="850" priority="276" operator="containsText" text="직접입력">
      <x:formula>NOT(ISERROR(SEARCH("직접입력",C136)))</x:formula>
    </x:cfRule>
  </x:conditionalFormatting>
  <x:conditionalFormatting sqref="C136:C150">
    <x:cfRule type="containsText" dxfId="849" priority="275" operator="containsText" text="직접입력">
      <x:formula>NOT(ISERROR(SEARCH("직접입력",C136)))</x:formula>
    </x:cfRule>
  </x:conditionalFormatting>
  <x:conditionalFormatting sqref="B136:B150">
    <x:cfRule type="containsText" dxfId="848" priority="274" operator="containsText" text="직접입력">
      <x:formula>NOT(ISERROR(SEARCH("직접입력",B136)))</x:formula>
    </x:cfRule>
  </x:conditionalFormatting>
  <x:conditionalFormatting sqref="C152:C166">
    <x:cfRule type="containsText" dxfId="847" priority="272" operator="containsText" text="직접입력">
      <x:formula>NOT(ISERROR(SEARCH("직접입력",C152)))</x:formula>
    </x:cfRule>
  </x:conditionalFormatting>
  <x:conditionalFormatting sqref="C152:C166">
    <x:cfRule type="containsText" dxfId="846" priority="271" operator="containsText" text="직접입력">
      <x:formula>NOT(ISERROR(SEARCH("직접입력",C152)))</x:formula>
    </x:cfRule>
  </x:conditionalFormatting>
  <x:conditionalFormatting sqref="B152:B166">
    <x:cfRule type="containsText" dxfId="845" priority="270" operator="containsText" text="직접입력">
      <x:formula>NOT(ISERROR(SEARCH("직접입력",B152)))</x:formula>
    </x:cfRule>
  </x:conditionalFormatting>
  <x:conditionalFormatting sqref="B168:B182">
    <x:cfRule type="containsText" dxfId="844" priority="266" operator="containsText" text="직접입력">
      <x:formula>NOT(ISERROR(SEARCH("직접입력",B168)))</x:formula>
    </x:cfRule>
  </x:conditionalFormatting>
  <x:conditionalFormatting sqref="C168:C182">
    <x:cfRule type="containsText" dxfId="843" priority="268" operator="containsText" text="직접입력">
      <x:formula>NOT(ISERROR(SEARCH("직접입력",C168)))</x:formula>
    </x:cfRule>
  </x:conditionalFormatting>
  <x:conditionalFormatting sqref="C168:C182">
    <x:cfRule type="containsText" dxfId="842" priority="267" operator="containsText" text="직접입력">
      <x:formula>NOT(ISERROR(SEARCH("직접입력",C168)))</x:formula>
    </x:cfRule>
  </x:conditionalFormatting>
  <x:conditionalFormatting sqref="M7:N7">
    <x:cfRule type="containsText" dxfId="841" priority="265" operator="containsText" text="금액입력">
      <x:formula>NOT(ISERROR(SEARCH("금액입력",M7)))</x:formula>
    </x:cfRule>
  </x:conditionalFormatting>
  <x:conditionalFormatting sqref="M23:N23">
    <x:cfRule type="containsText" dxfId="840" priority="264" operator="containsText" text="금액입력">
      <x:formula>NOT(ISERROR(SEARCH("금액입력",M23)))</x:formula>
    </x:cfRule>
  </x:conditionalFormatting>
  <x:conditionalFormatting sqref="M39:N39">
    <x:cfRule type="containsText" dxfId="839" priority="263" operator="containsText" text="금액입력">
      <x:formula>NOT(ISERROR(SEARCH("금액입력",M39)))</x:formula>
    </x:cfRule>
  </x:conditionalFormatting>
  <x:conditionalFormatting sqref="M55:N55">
    <x:cfRule type="containsText" dxfId="838" priority="262" operator="containsText" text="금액입력">
      <x:formula>NOT(ISERROR(SEARCH("금액입력",M55)))</x:formula>
    </x:cfRule>
  </x:conditionalFormatting>
  <x:conditionalFormatting sqref="M71:N71">
    <x:cfRule type="containsText" dxfId="837" priority="261" operator="containsText" text="금액입력">
      <x:formula>NOT(ISERROR(SEARCH("금액입력",M71)))</x:formula>
    </x:cfRule>
  </x:conditionalFormatting>
  <x:conditionalFormatting sqref="M87:N87">
    <x:cfRule type="containsText" dxfId="836" priority="260" operator="containsText" text="금액입력">
      <x:formula>NOT(ISERROR(SEARCH("금액입력",M87)))</x:formula>
    </x:cfRule>
  </x:conditionalFormatting>
  <x:conditionalFormatting sqref="M103:N103">
    <x:cfRule type="containsText" dxfId="835" priority="259" operator="containsText" text="금액입력">
      <x:formula>NOT(ISERROR(SEARCH("금액입력",M103)))</x:formula>
    </x:cfRule>
  </x:conditionalFormatting>
  <x:conditionalFormatting sqref="M119:N119">
    <x:cfRule type="containsText" dxfId="834" priority="258" operator="containsText" text="금액입력">
      <x:formula>NOT(ISERROR(SEARCH("금액입력",M119)))</x:formula>
    </x:cfRule>
  </x:conditionalFormatting>
  <x:conditionalFormatting sqref="M135:N135">
    <x:cfRule type="containsText" dxfId="833" priority="257" operator="containsText" text="금액입력">
      <x:formula>NOT(ISERROR(SEARCH("금액입력",M135)))</x:formula>
    </x:cfRule>
  </x:conditionalFormatting>
  <x:conditionalFormatting sqref="M151:N151">
    <x:cfRule type="containsText" dxfId="832" priority="256" operator="containsText" text="금액입력">
      <x:formula>NOT(ISERROR(SEARCH("금액입력",M151)))</x:formula>
    </x:cfRule>
  </x:conditionalFormatting>
  <x:conditionalFormatting sqref="M167:N167">
    <x:cfRule type="containsText" dxfId="831" priority="255" operator="containsText" text="금액입력">
      <x:formula>NOT(ISERROR(SEARCH("금액입력",M167)))</x:formula>
    </x:cfRule>
  </x:conditionalFormatting>
  <x:conditionalFormatting sqref="F8:G22">
    <x:cfRule type="containsText" dxfId="830" priority="219" operator="containsText" text="직접입력">
      <x:formula>NOT(ISERROR(SEARCH("직접입력",F8)))</x:formula>
    </x:cfRule>
  </x:conditionalFormatting>
  <x:conditionalFormatting sqref="M8:M22">
    <x:cfRule type="containsText" dxfId="829" priority="173" operator="containsText" text="부기명 입력">
      <x:formula>NOT(ISERROR(SEARCH("부기명 입력",M8)))</x:formula>
    </x:cfRule>
  </x:conditionalFormatting>
  <x:conditionalFormatting sqref="M8:M22">
    <x:cfRule type="containsText" dxfId="828" priority="172" operator="containsText" text="금액입력">
      <x:formula>NOT(ISERROR(SEARCH("금액입력",M8)))</x:formula>
    </x:cfRule>
  </x:conditionalFormatting>
  <x:conditionalFormatting sqref="N8:N22">
    <x:cfRule type="containsText" dxfId="827" priority="171" operator="containsText" text="금액입력">
      <x:formula>NOT(ISERROR(SEARCH("금액입력",N8)))</x:formula>
    </x:cfRule>
  </x:conditionalFormatting>
  <x:conditionalFormatting sqref="F24:G38">
    <x:cfRule type="containsText" dxfId="826" priority="43" operator="containsText" text="직접입력">
      <x:formula>NOT(ISERROR(SEARCH("직접입력",F24)))</x:formula>
    </x:cfRule>
  </x:conditionalFormatting>
  <x:conditionalFormatting sqref="F40:G54">
    <x:cfRule type="containsText" dxfId="825" priority="42" operator="containsText" text="직접입력">
      <x:formula>NOT(ISERROR(SEARCH("직접입력",F40)))</x:formula>
    </x:cfRule>
  </x:conditionalFormatting>
  <x:conditionalFormatting sqref="F56:G70">
    <x:cfRule type="containsText" dxfId="824" priority="41" operator="containsText" text="직접입력">
      <x:formula>NOT(ISERROR(SEARCH("직접입력",F56)))</x:formula>
    </x:cfRule>
  </x:conditionalFormatting>
  <x:conditionalFormatting sqref="F72:G86">
    <x:cfRule type="containsText" dxfId="823" priority="40" operator="containsText" text="직접입력">
      <x:formula>NOT(ISERROR(SEARCH("직접입력",F72)))</x:formula>
    </x:cfRule>
  </x:conditionalFormatting>
  <x:conditionalFormatting sqref="F88:G102">
    <x:cfRule type="containsText" dxfId="822" priority="39" operator="containsText" text="직접입력">
      <x:formula>NOT(ISERROR(SEARCH("직접입력",F88)))</x:formula>
    </x:cfRule>
  </x:conditionalFormatting>
  <x:conditionalFormatting sqref="F104:G118">
    <x:cfRule type="containsText" dxfId="821" priority="38" operator="containsText" text="직접입력">
      <x:formula>NOT(ISERROR(SEARCH("직접입력",F104)))</x:formula>
    </x:cfRule>
  </x:conditionalFormatting>
  <x:conditionalFormatting sqref="F120:G134">
    <x:cfRule type="containsText" dxfId="820" priority="37" operator="containsText" text="직접입력">
      <x:formula>NOT(ISERROR(SEARCH("직접입력",F120)))</x:formula>
    </x:cfRule>
  </x:conditionalFormatting>
  <x:conditionalFormatting sqref="F136:G150">
    <x:cfRule type="containsText" dxfId="819" priority="36" operator="containsText" text="직접입력">
      <x:formula>NOT(ISERROR(SEARCH("직접입력",F136)))</x:formula>
    </x:cfRule>
  </x:conditionalFormatting>
  <x:conditionalFormatting sqref="F152:G166">
    <x:cfRule type="containsText" dxfId="818" priority="35" operator="containsText" text="직접입력">
      <x:formula>NOT(ISERROR(SEARCH("직접입력",F152)))</x:formula>
    </x:cfRule>
  </x:conditionalFormatting>
  <x:conditionalFormatting sqref="F168:G182">
    <x:cfRule type="containsText" dxfId="817" priority="34" operator="containsText" text="직접입력">
      <x:formula>NOT(ISERROR(SEARCH("직접입력",F168)))</x:formula>
    </x:cfRule>
  </x:conditionalFormatting>
  <x:conditionalFormatting sqref="M168:M182">
    <x:cfRule type="containsText" dxfId="816" priority="3" operator="containsText" text="부기명 입력">
      <x:formula>NOT(ISERROR(SEARCH("부기명 입력",M168)))</x:formula>
    </x:cfRule>
  </x:conditionalFormatting>
  <x:conditionalFormatting sqref="M168:M182">
    <x:cfRule type="containsText" dxfId="815" priority="2" operator="containsText" text="금액입력">
      <x:formula>NOT(ISERROR(SEARCH("금액입력",M168)))</x:formula>
    </x:cfRule>
  </x:conditionalFormatting>
  <x:conditionalFormatting sqref="N168:N182">
    <x:cfRule type="containsText" dxfId="814" priority="1" operator="containsText" text="금액입력">
      <x:formula>NOT(ISERROR(SEARCH("금액입력",N168)))</x:formula>
    </x:cfRule>
  </x:conditionalFormatting>
  <x:conditionalFormatting sqref="M24:M38">
    <x:cfRule type="containsText" dxfId="813" priority="30" operator="containsText" text="부기명 입력">
      <x:formula>NOT(ISERROR(SEARCH("부기명 입력",M24)))</x:formula>
    </x:cfRule>
  </x:conditionalFormatting>
  <x:conditionalFormatting sqref="M24:M38">
    <x:cfRule type="containsText" dxfId="812" priority="29" operator="containsText" text="금액입력">
      <x:formula>NOT(ISERROR(SEARCH("금액입력",M24)))</x:formula>
    </x:cfRule>
  </x:conditionalFormatting>
  <x:conditionalFormatting sqref="N24:N38">
    <x:cfRule type="containsText" dxfId="811" priority="28" operator="containsText" text="금액입력">
      <x:formula>NOT(ISERROR(SEARCH("금액입력",N24)))</x:formula>
    </x:cfRule>
  </x:conditionalFormatting>
  <x:conditionalFormatting sqref="M40:M54">
    <x:cfRule type="containsText" dxfId="810" priority="27" operator="containsText" text="부기명 입력">
      <x:formula>NOT(ISERROR(SEARCH("부기명 입력",M40)))</x:formula>
    </x:cfRule>
  </x:conditionalFormatting>
  <x:conditionalFormatting sqref="M40:M54">
    <x:cfRule type="containsText" dxfId="809" priority="26" operator="containsText" text="금액입력">
      <x:formula>NOT(ISERROR(SEARCH("금액입력",M40)))</x:formula>
    </x:cfRule>
  </x:conditionalFormatting>
  <x:conditionalFormatting sqref="N40:N54">
    <x:cfRule type="containsText" dxfId="808" priority="25" operator="containsText" text="금액입력">
      <x:formula>NOT(ISERROR(SEARCH("금액입력",N40)))</x:formula>
    </x:cfRule>
  </x:conditionalFormatting>
  <x:conditionalFormatting sqref="M56:M70">
    <x:cfRule type="containsText" dxfId="807" priority="24" operator="containsText" text="부기명 입력">
      <x:formula>NOT(ISERROR(SEARCH("부기명 입력",M56)))</x:formula>
    </x:cfRule>
  </x:conditionalFormatting>
  <x:conditionalFormatting sqref="M56:M70">
    <x:cfRule type="containsText" dxfId="806" priority="23" operator="containsText" text="금액입력">
      <x:formula>NOT(ISERROR(SEARCH("금액입력",M56)))</x:formula>
    </x:cfRule>
  </x:conditionalFormatting>
  <x:conditionalFormatting sqref="N56:N70">
    <x:cfRule type="containsText" dxfId="805" priority="22" operator="containsText" text="금액입력">
      <x:formula>NOT(ISERROR(SEARCH("금액입력",N56)))</x:formula>
    </x:cfRule>
  </x:conditionalFormatting>
  <x:conditionalFormatting sqref="M72:M86">
    <x:cfRule type="containsText" dxfId="804" priority="21" operator="containsText" text="부기명 입력">
      <x:formula>NOT(ISERROR(SEARCH("부기명 입력",M72)))</x:formula>
    </x:cfRule>
  </x:conditionalFormatting>
  <x:conditionalFormatting sqref="M72:M86">
    <x:cfRule type="containsText" dxfId="803" priority="20" operator="containsText" text="금액입력">
      <x:formula>NOT(ISERROR(SEARCH("금액입력",M72)))</x:formula>
    </x:cfRule>
  </x:conditionalFormatting>
  <x:conditionalFormatting sqref="N72:N86">
    <x:cfRule type="containsText" dxfId="802" priority="19" operator="containsText" text="금액입력">
      <x:formula>NOT(ISERROR(SEARCH("금액입력",N72)))</x:formula>
    </x:cfRule>
  </x:conditionalFormatting>
  <x:conditionalFormatting sqref="M88:M102">
    <x:cfRule type="containsText" dxfId="801" priority="18" operator="containsText" text="부기명 입력">
      <x:formula>NOT(ISERROR(SEARCH("부기명 입력",M88)))</x:formula>
    </x:cfRule>
  </x:conditionalFormatting>
  <x:conditionalFormatting sqref="M88:M102">
    <x:cfRule type="containsText" dxfId="800" priority="17" operator="containsText" text="금액입력">
      <x:formula>NOT(ISERROR(SEARCH("금액입력",M88)))</x:formula>
    </x:cfRule>
  </x:conditionalFormatting>
  <x:conditionalFormatting sqref="N88:N102">
    <x:cfRule type="containsText" dxfId="799" priority="16" operator="containsText" text="금액입력">
      <x:formula>NOT(ISERROR(SEARCH("금액입력",N88)))</x:formula>
    </x:cfRule>
  </x:conditionalFormatting>
  <x:conditionalFormatting sqref="M104:M118">
    <x:cfRule type="containsText" dxfId="798" priority="15" operator="containsText" text="부기명 입력">
      <x:formula>NOT(ISERROR(SEARCH("부기명 입력",M104)))</x:formula>
    </x:cfRule>
  </x:conditionalFormatting>
  <x:conditionalFormatting sqref="M104:M118">
    <x:cfRule type="containsText" dxfId="797" priority="14" operator="containsText" text="금액입력">
      <x:formula>NOT(ISERROR(SEARCH("금액입력",M104)))</x:formula>
    </x:cfRule>
  </x:conditionalFormatting>
  <x:conditionalFormatting sqref="N104:N118">
    <x:cfRule type="containsText" dxfId="796" priority="13" operator="containsText" text="금액입력">
      <x:formula>NOT(ISERROR(SEARCH("금액입력",N104)))</x:formula>
    </x:cfRule>
  </x:conditionalFormatting>
  <x:conditionalFormatting sqref="M120:M134">
    <x:cfRule type="containsText" dxfId="795" priority="12" operator="containsText" text="부기명 입력">
      <x:formula>NOT(ISERROR(SEARCH("부기명 입력",M120)))</x:formula>
    </x:cfRule>
  </x:conditionalFormatting>
  <x:conditionalFormatting sqref="M120:M134">
    <x:cfRule type="containsText" dxfId="794" priority="11" operator="containsText" text="금액입력">
      <x:formula>NOT(ISERROR(SEARCH("금액입력",M120)))</x:formula>
    </x:cfRule>
  </x:conditionalFormatting>
  <x:conditionalFormatting sqref="N120:N134">
    <x:cfRule type="containsText" dxfId="793" priority="10" operator="containsText" text="금액입력">
      <x:formula>NOT(ISERROR(SEARCH("금액입력",N120)))</x:formula>
    </x:cfRule>
  </x:conditionalFormatting>
  <x:conditionalFormatting sqref="M136:M150">
    <x:cfRule type="containsText" dxfId="792" priority="9" operator="containsText" text="부기명 입력">
      <x:formula>NOT(ISERROR(SEARCH("부기명 입력",M136)))</x:formula>
    </x:cfRule>
  </x:conditionalFormatting>
  <x:conditionalFormatting sqref="M136:M150">
    <x:cfRule type="containsText" dxfId="791" priority="8" operator="containsText" text="금액입력">
      <x:formula>NOT(ISERROR(SEARCH("금액입력",M136)))</x:formula>
    </x:cfRule>
  </x:conditionalFormatting>
  <x:conditionalFormatting sqref="N136:N150">
    <x:cfRule type="containsText" dxfId="790" priority="7" operator="containsText" text="금액입력">
      <x:formula>NOT(ISERROR(SEARCH("금액입력",N136)))</x:formula>
    </x:cfRule>
  </x:conditionalFormatting>
  <x:conditionalFormatting sqref="M152:M166">
    <x:cfRule type="containsText" dxfId="789" priority="6" operator="containsText" text="부기명 입력">
      <x:formula>NOT(ISERROR(SEARCH("부기명 입력",M152)))</x:formula>
    </x:cfRule>
  </x:conditionalFormatting>
  <x:conditionalFormatting sqref="M152:M166">
    <x:cfRule type="containsText" dxfId="788" priority="5" operator="containsText" text="금액입력">
      <x:formula>NOT(ISERROR(SEARCH("금액입력",M152)))</x:formula>
    </x:cfRule>
  </x:conditionalFormatting>
  <x:conditionalFormatting sqref="N152:N166">
    <x:cfRule type="containsText" dxfId="787" priority="4" operator="containsText" text="금액입력">
      <x:formula>NOT(ISERROR(SEARCH("금액입력",N152)))</x:formula>
    </x:cfRule>
  </x:conditionalFormatting>
  <x:dataValidations count="36">
    <x:dataValidation type="list" allowBlank="1" showInputMessage="1" showErrorMessage="1" sqref="E6:E6">
      <x:formula1>"본예산, 신규"</x:formula1>
    </x:dataValidation>
    <x:dataValidation type="list" allowBlank="1" showInputMessage="1" showErrorMessage="1" sqref="W104:W118 W72:W86 W56:W70 W24:W38 W40:W54 W136:W150 W8:W22 W152:W166 W88:W102 W120:W134 W168:W182">
      <x:formula1>"동의, 부동의, 미실시"</x:formula1>
    </x:dataValidation>
    <x:dataValidation type="custom" allowBlank="1" showInputMessage="1" showErrorMessage="1" sqref="B168:B182">
      <x:formula1>"여성가족평생교육위원회"</x:formula1>
    </x:dataValidation>
    <x:dataValidation type="custom" allowBlank="1" showInputMessage="1" showErrorMessage="1" sqref="B152:B166">
      <x:formula1>"미래과학협력위원회"</x:formula1>
    </x:dataValidation>
    <x:dataValidation type="list" allowBlank="1" showInputMessage="1" showErrorMessage="1" sqref="B136:B150">
      <x:formula1>"도시환경위원회"</x:formula1>
    </x:dataValidation>
    <x:dataValidation type="custom" allowBlank="1" showInputMessage="1" showErrorMessage="1" sqref="B120:B134">
      <x:formula1>"건설교통위원회"</x:formula1>
    </x:dataValidation>
    <x:dataValidation type="list" allowBlank="1" showInputMessage="1" showErrorMessage="1" sqref="B104:B118">
      <x:formula1>"보건복지위원회"</x:formula1>
    </x:dataValidation>
    <x:dataValidation type="custom" allowBlank="1" showInputMessage="1" showErrorMessage="1" sqref="B88:B102">
      <x:formula1>"농정해양위원회"</x:formula1>
    </x:dataValidation>
    <x:dataValidation type="custom" allowBlank="1" showInputMessage="1" showErrorMessage="1" sqref="B72:B86">
      <x:formula1>"문화체육관광위원회"</x:formula1>
    </x:dataValidation>
    <x:dataValidation type="custom" allowBlank="1" showInputMessage="1" showErrorMessage="1" sqref="B56:B70">
      <x:formula1>"안전행정위원회"</x:formula1>
    </x:dataValidation>
    <x:dataValidation type="custom" allowBlank="1" showInputMessage="1" showErrorMessage="1" sqref="B40:B54">
      <x:formula1>"경제노동위원회"</x:formula1>
    </x:dataValidation>
    <x:dataValidation type="custom" allowBlank="1" showInputMessage="1" showErrorMessage="1" sqref="B24:B38">
      <x:formula1>"기획재정위원회"</x:formula1>
    </x:dataValidation>
    <x:dataValidation type="custom" allowBlank="1" showInputMessage="1" showErrorMessage="1" sqref="B8:B22">
      <x:formula1>"의회운영위원회"</x:formula1>
    </x:dataValidation>
    <x:dataValidation type="list" allowBlank="1" showInputMessage="1" showErrorMessage="1" sqref="E40:E54 E136:E150 E152:E166 E8:E22 E24:E38 E56:E70 E72:E86 E88:E102 E104:E118 E120:E134 E168:E182">
      <x:formula1>"본예산, 1추, 2추, 신규"</x:formula1>
    </x:dataValidation>
    <x:dataValidation type="list" allowBlank="1" showInputMessage="1" showErrorMessage="1" sqref="D168:D182">
      <x:formula1>구분표!$AB$3:$AB$14</x:formula1>
    </x:dataValidation>
    <x:dataValidation type="list" allowBlank="1" showInputMessage="1" showErrorMessage="1" sqref="C168:C182">
      <x:formula1>구분표!$AN$3:$AN$7</x:formula1>
    </x:dataValidation>
    <x:dataValidation type="list" allowBlank="1" showInputMessage="1" showErrorMessage="1" sqref="D152:D166">
      <x:formula1>구분표!$AA$3:$AA$14</x:formula1>
    </x:dataValidation>
    <x:dataValidation type="list" allowBlank="1" showInputMessage="1" showErrorMessage="1" sqref="C152:C166">
      <x:formula1>구분표!$AM$3:$AM$5</x:formula1>
    </x:dataValidation>
    <x:dataValidation type="list" allowBlank="1" showInputMessage="1" showErrorMessage="1" sqref="D136:D150">
      <x:formula1>구분표!$Z$3:$Z$30</x:formula1>
    </x:dataValidation>
    <x:dataValidation type="list" allowBlank="1" showInputMessage="1" showErrorMessage="1" sqref="C136:C150">
      <x:formula1>구분표!$AL$3:$AL$8</x:formula1>
    </x:dataValidation>
    <x:dataValidation type="list" allowBlank="1" showInputMessage="1" showErrorMessage="1" sqref="D120:D134">
      <x:formula1>구분표!$Y$3:$Y$21</x:formula1>
    </x:dataValidation>
    <x:dataValidation type="list" allowBlank="1" showInputMessage="1" showErrorMessage="1" sqref="C120:C134">
      <x:formula1>구분표!$AK$3:$AK$7</x:formula1>
    </x:dataValidation>
    <x:dataValidation type="list" allowBlank="1" showInputMessage="1" showErrorMessage="1" sqref="D104:D118">
      <x:formula1>구분표!$X$3:$X$19</x:formula1>
    </x:dataValidation>
    <x:dataValidation type="list" allowBlank="1" showInputMessage="1" showErrorMessage="1" sqref="C104:C118">
      <x:formula1>구분표!$AJ$3:$AJ$5</x:formula1>
    </x:dataValidation>
    <x:dataValidation type="list" allowBlank="1" showInputMessage="1" showErrorMessage="1" sqref="D88:D102">
      <x:formula1>구분표!$W$3:$W$28</x:formula1>
    </x:dataValidation>
    <x:dataValidation type="list" allowBlank="1" showInputMessage="1" showErrorMessage="1" sqref="C88:C102">
      <x:formula1>구분표!$AI$3:$AI$6</x:formula1>
    </x:dataValidation>
    <x:dataValidation type="list" allowBlank="1" showInputMessage="1" showErrorMessage="1" sqref="D72:D86">
      <x:formula1>구분표!$V$3:$V$11</x:formula1>
    </x:dataValidation>
    <x:dataValidation type="list" allowBlank="1" showInputMessage="1" showErrorMessage="1" sqref="C72:C86">
      <x:formula1>구분표!$AH$3</x:formula1>
    </x:dataValidation>
    <x:dataValidation type="list" allowBlank="1" showInputMessage="1" showErrorMessage="1" sqref="D56:D70">
      <x:formula1>구분표!$U$3:$U$81</x:formula1>
    </x:dataValidation>
    <x:dataValidation type="list" allowBlank="1" showInputMessage="1" showErrorMessage="1" sqref="C56:C70">
      <x:formula1>구분표!$AG$3:$AG$11</x:formula1>
    </x:dataValidation>
    <x:dataValidation type="list" allowBlank="1" showInputMessage="1" showErrorMessage="1" sqref="D40:D54">
      <x:formula1>구분표!$T$3:$T$19</x:formula1>
    </x:dataValidation>
    <x:dataValidation type="list" allowBlank="1" showInputMessage="1" showErrorMessage="1" sqref="C40:C54">
      <x:formula1>구분표!$AF$3:$AF$6</x:formula1>
    </x:dataValidation>
    <x:dataValidation type="list" allowBlank="1" showInputMessage="1" showErrorMessage="1" sqref="D24:D38">
      <x:formula1>구분표!$S$3:$S$23</x:formula1>
    </x:dataValidation>
    <x:dataValidation type="list" allowBlank="1" showInputMessage="1" showErrorMessage="1" sqref="C24:C38">
      <x:formula1>구분표!$AE$3:$AE$7</x:formula1>
    </x:dataValidation>
    <x:dataValidation type="list" allowBlank="1" showInputMessage="1" showErrorMessage="1" sqref="C8:C22">
      <x:formula1>구분표!$AD$3:$AD$6</x:formula1>
    </x:dataValidation>
    <x:dataValidation type="list" allowBlank="1" showInputMessage="1" showErrorMessage="1" sqref="D8:D22">
      <x:formula1>구분표!$R$3:$R$17</x:formula1>
    </x:dataValidation>
  </x:dataValidation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19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  <x:legacyDrawing r:id="rId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>
    <x:tabColor rgb="ff00b0f0"/>
    <x:pageSetUpPr autoPageBreaks="1" fitToPage="1"/>
  </x:sheetPr>
  <x:dimension ref="A1:AQ68"/>
  <x:sheetViews>
    <x:sheetView view="pageBreakPreview" topLeftCell="M1" zoomScale="40" zoomScaleNormal="55" zoomScaleSheetLayoutView="40" workbookViewId="0">
      <x:pane xSplit="0" ySplit="6" topLeftCell="M31" activePane="bottomLeft" state="frozen"/>
      <x:selection pane="bottomLeft" activeCell="Z39" activeCellId="0" sqref="Z39:Z39"/>
    </x:sheetView>
  </x:sheetViews>
  <x:sheetFormatPr defaultColWidth="9" defaultRowHeight="50.100000000000001" customHeight="1"/>
  <x:cols>
    <x:col min="1" max="1" width="11.75" style="21" customWidth="1"/>
    <x:col min="2" max="2" width="22.125" style="49" bestFit="1" customWidth="1"/>
    <x:col min="3" max="3" width="25.375" style="49" bestFit="1" customWidth="1"/>
    <x:col min="4" max="4" width="22.125" style="49" bestFit="1" customWidth="1"/>
    <x:col min="5" max="5" width="10.125" style="49" bestFit="1" customWidth="1"/>
    <x:col min="6" max="7" width="15.625" style="62" customWidth="1"/>
    <x:col min="8" max="8" width="10.625" style="21" bestFit="1" customWidth="1"/>
    <x:col min="9" max="9" width="21.5" style="21" customWidth="1"/>
    <x:col min="10" max="10" width="33.25" style="21" customWidth="1"/>
    <x:col min="11" max="12" width="25.625" style="21" customWidth="1"/>
    <x:col min="13" max="17" width="25.625" style="454" customWidth="1"/>
    <x:col min="18" max="18" width="12.625" style="21" customWidth="1"/>
    <x:col min="19" max="19" width="19" style="30" customWidth="1"/>
    <x:col min="20" max="20" width="26.625" style="30" bestFit="1" customWidth="1"/>
    <x:col min="21" max="21" width="15.875" style="30" customWidth="1"/>
    <x:col min="22" max="22" width="26.5" style="30" customWidth="1"/>
    <x:col min="23" max="23" width="14.875" style="30" bestFit="1" customWidth="1"/>
    <x:col min="24" max="24" width="12.625" style="49" bestFit="1" customWidth="1"/>
    <x:col min="25" max="25" width="4.625" style="21" customWidth="1"/>
    <x:col min="26" max="27" width="25.625" style="454" customWidth="1"/>
    <x:col min="28" max="28" width="2.625" style="21" customWidth="1"/>
    <x:col min="29" max="30" width="25.625" style="454" customWidth="1"/>
    <x:col min="31" max="31" width="2.625" style="21" customWidth="1"/>
    <x:col min="32" max="32" width="15.625" style="21" customWidth="1"/>
    <x:col min="33" max="33" width="7.875" style="21" bestFit="1" customWidth="1"/>
    <x:col min="34" max="34" width="2.625" style="21" customWidth="1"/>
    <x:col min="35" max="35" width="9.5" style="21" bestFit="1" customWidth="1"/>
    <x:col min="36" max="36" width="2.625" style="21" customWidth="1"/>
    <x:col min="37" max="37" width="25.625" style="454" customWidth="1"/>
    <x:col min="38" max="38" width="9" style="21" bestFit="1" customWidth="1"/>
    <x:col min="39" max="39" width="16.625" style="21" customWidth="1"/>
    <x:col min="40" max="40" width="4.25" style="21" customWidth="1"/>
    <x:col min="41" max="41" width="25.625" style="454" customWidth="1"/>
    <x:col min="42" max="42" width="9" style="21" bestFit="1" customWidth="1"/>
    <x:col min="43" max="43" width="16.625" style="21" customWidth="1"/>
    <x:col min="44" max="16384" width="9" style="21"/>
  </x:cols>
  <x:sheetData>
    <x:row r="1" spans="1:32" ht="90" customHeight="1">
      <x:c r="A1" s="948" t="s">
        <x:v>1444</x:v>
      </x:c>
      <x:c r="B1" s="948"/>
      <x:c r="C1" s="948"/>
      <x:c r="D1" s="948"/>
      <x:c r="E1" s="948"/>
      <x:c r="F1" s="948"/>
      <x:c r="G1" s="948"/>
      <x:c r="H1" s="948"/>
      <x:c r="I1" s="948"/>
      <x:c r="J1" s="948"/>
      <x:c r="K1" s="948"/>
      <x:c r="L1" s="948"/>
      <x:c r="M1" s="948"/>
      <x:c r="N1" s="948"/>
      <x:c r="O1" s="948"/>
      <x:c r="P1" s="948"/>
      <x:c r="Q1" s="948"/>
      <x:c r="R1" s="948"/>
      <x:c r="S1" s="948"/>
      <x:c r="T1" s="948"/>
      <x:c r="U1" s="948"/>
      <x:c r="V1" s="948"/>
      <x:c r="W1" s="948"/>
      <x:c r="X1" s="948"/>
      <x:c r="Z1" s="936" t="s">
        <x:v>1040</x:v>
      </x:c>
      <x:c r="AA1" s="938"/>
      <x:c r="AC1" s="933" t="s">
        <x:v>1040</x:v>
      </x:c>
      <x:c r="AD1" s="935"/>
      <x:c r="AF1" s="448" t="s">
        <x:v>432</x:v>
      </x:c>
    </x:row>
    <x:row r="2" spans="1:43" s="44" customFormat="1" ht="39" customHeight="1">
      <x:c r="A2" s="54"/>
      <x:c r="B2" s="52"/>
      <x:c r="C2" s="51"/>
      <x:c r="D2" s="51"/>
      <x:c r="E2" s="51"/>
      <x:c r="F2" s="51"/>
      <x:c r="G2" s="51"/>
      <x:c r="M2" s="489"/>
      <x:c r="N2" s="489"/>
      <x:c r="O2" s="489"/>
      <x:c r="P2" s="489"/>
      <x:c r="Q2" s="490">
        <x:f>Q6-M6</x:f>
        <x:v>0</x:v>
      </x:c>
      <x:c r="X2" s="51"/>
      <x:c r="Z2" s="495" t="s">
        <x:v>448</x:v>
      </x:c>
      <x:c r="AA2" s="557" t="s">
        <x:v>442</x:v>
      </x:c>
      <x:c r="AC2" s="495" t="s">
        <x:v>448</x:v>
      </x:c>
      <x:c r="AD2" s="557" t="s">
        <x:v>442</x:v>
      </x:c>
      <x:c r="AK2" s="495" t="s">
        <x:v>63</x:v>
      </x:c>
      <x:c r="AM2" s="54"/>
      <x:c r="AO2" s="495" t="s">
        <x:v>63</x:v>
      </x:c>
      <x:c r="AQ2" s="54"/>
    </x:row>
    <x:row r="3" spans="1:43" ht="24.75" customHeight="1">
      <x:c r="A3" s="23"/>
      <x:c r="N3" s="456"/>
      <x:c r="O3" s="456"/>
      <x:c r="P3" s="456"/>
      <x:c r="Q3" s="456"/>
      <x:c r="R3" s="74"/>
      <x:c r="W3" s="350"/>
      <x:c r="X3" s="71" t="s">
        <x:v>1513</x:v>
      </x:c>
      <x:c r="Z3" s="468" t="str">
        <x:f>IF(Z6='4. 특출'!AB5,"OK","@@")</x:f>
        <x:v>@@</x:v>
      </x:c>
      <x:c r="AA3" s="468" t="str">
        <x:f>IF(AA6='4. 특출'!AC5,"OK","@@")</x:f>
        <x:v>@@</x:v>
      </x:c>
      <x:c r="AC3" s="468" t="str">
        <x:f>IF(AC6='4. 특출'!AF5,"OK","@@")</x:f>
        <x:v>OK</x:v>
      </x:c>
      <x:c r="AD3" s="468" t="str">
        <x:f>IF(AD6='4. 특출'!AG5,"OK","@@")</x:f>
        <x:v>OK</x:v>
      </x:c>
      <x:c r="AK3" s="492" t="str">
        <x:f>IF(Z6=AK6,"OK","@@")</x:f>
        <x:v>@@</x:v>
      </x:c>
      <x:c r="AL3" s="387"/>
      <x:c r="AM3" s="386"/>
      <x:c r="AO3" s="492" t="str">
        <x:f>IF(AC6=AO6,"OK","@@")</x:f>
        <x:v>OK</x:v>
      </x:c>
      <x:c r="AP3" s="387"/>
      <x:c r="AQ3" s="386"/>
    </x:row>
    <x:row r="4" spans="1:43" s="329" customFormat="1" ht="60" customHeight="1">
      <x:c r="A4" s="893" t="s">
        <x:v>116</x:v>
      </x:c>
      <x:c r="B4" s="904" t="s">
        <x:v>1933</x:v>
      </x:c>
      <x:c r="C4" s="904" t="s">
        <x:v>74</x:v>
      </x:c>
      <x:c r="D4" s="904" t="s">
        <x:v>94</x:v>
      </x:c>
      <x:c r="E4" s="894" t="s">
        <x:v>1320</x:v>
      </x:c>
      <x:c r="F4" s="894" t="s">
        <x:v>1646</x:v>
      </x:c>
      <x:c r="G4" s="894" t="s">
        <x:v>1620</x:v>
      </x:c>
      <x:c r="H4" s="975" t="s">
        <x:v>119</x:v>
      </x:c>
      <x:c r="I4" s="893" t="s">
        <x:v>126</x:v>
      </x:c>
      <x:c r="J4" s="893" t="s">
        <x:v>127</x:v>
      </x:c>
      <x:c r="K4" s="889" t="s">
        <x:v>1412</x:v>
      </x:c>
      <x:c r="L4" s="889" t="s">
        <x:v>1678</x:v>
      </x:c>
      <x:c r="M4" s="889" t="s">
        <x:v>443</x:v>
      </x:c>
      <x:c r="N4" s="902" t="s">
        <x:v>1661</x:v>
      </x:c>
      <x:c r="O4" s="891" t="s">
        <x:v>1357</x:v>
      </x:c>
      <x:c r="P4" s="902" t="s">
        <x:v>1636</x:v>
      </x:c>
      <x:c r="Q4" s="891" t="s">
        <x:v>1359</x:v>
      </x:c>
      <x:c r="R4" s="899" t="s">
        <x:v>1543</x:v>
      </x:c>
      <x:c r="S4" s="891" t="s">
        <x:v>1550</x:v>
      </x:c>
      <x:c r="T4" s="891" t="s">
        <x:v>1549</x:v>
      </x:c>
      <x:c r="U4" s="891" t="s">
        <x:v>1619</x:v>
      </x:c>
      <x:c r="V4" s="891" t="s">
        <x:v>1492</x:v>
      </x:c>
      <x:c r="W4" s="891" t="s">
        <x:v>551</x:v>
      </x:c>
      <x:c r="X4" s="894" t="s">
        <x:v>1514</x:v>
      </x:c>
      <x:c r="Y4" s="328"/>
      <x:c r="Z4" s="944" t="s">
        <x:v>1522</x:v>
      </x:c>
      <x:c r="AA4" s="944"/>
      <x:c r="AC4" s="945" t="s">
        <x:v>1517</x:v>
      </x:c>
      <x:c r="AD4" s="945"/>
      <x:c r="AF4" s="896" t="s">
        <x:v>1322</x:v>
      </x:c>
      <x:c r="AG4" s="896" t="s">
        <x:v>98</x:v>
      </x:c>
      <x:c r="AI4" s="895" t="s">
        <x:v>65</x:v>
      </x:c>
      <x:c r="AK4" s="897" t="s">
        <x:v>1523</x:v>
      </x:c>
      <x:c r="AL4" s="897"/>
      <x:c r="AM4" s="897"/>
      <x:c r="AO4" s="898" t="s">
        <x:v>1518</x:v>
      </x:c>
      <x:c r="AP4" s="898"/>
      <x:c r="AQ4" s="898"/>
    </x:row>
    <x:row r="5" spans="1:43" s="329" customFormat="1" ht="60" customHeight="1">
      <x:c r="A5" s="893"/>
      <x:c r="B5" s="904"/>
      <x:c r="C5" s="904"/>
      <x:c r="D5" s="904"/>
      <x:c r="E5" s="894"/>
      <x:c r="F5" s="894"/>
      <x:c r="G5" s="894"/>
      <x:c r="H5" s="977"/>
      <x:c r="I5" s="893"/>
      <x:c r="J5" s="893"/>
      <x:c r="K5" s="890"/>
      <x:c r="L5" s="890"/>
      <x:c r="M5" s="890"/>
      <x:c r="N5" s="903"/>
      <x:c r="O5" s="892"/>
      <x:c r="P5" s="903"/>
      <x:c r="Q5" s="892"/>
      <x:c r="R5" s="899"/>
      <x:c r="S5" s="891"/>
      <x:c r="T5" s="891"/>
      <x:c r="U5" s="891"/>
      <x:c r="V5" s="891"/>
      <x:c r="W5" s="891"/>
      <x:c r="X5" s="904"/>
      <x:c r="Y5" s="328"/>
      <x:c r="Z5" s="493" t="s">
        <x:v>1325</x:v>
      </x:c>
      <x:c r="AA5" s="493" t="s">
        <x:v>91</x:v>
      </x:c>
      <x:c r="AC5" s="469" t="s">
        <x:v>1325</x:v>
      </x:c>
      <x:c r="AD5" s="469" t="s">
        <x:v>91</x:v>
      </x:c>
      <x:c r="AF5" s="896"/>
      <x:c r="AG5" s="896"/>
      <x:c r="AI5" s="896"/>
      <x:c r="AK5" s="469" t="s">
        <x:v>1321</x:v>
      </x:c>
      <x:c r="AL5" s="330" t="s">
        <x:v>106</x:v>
      </x:c>
      <x:c r="AM5" s="378" t="s">
        <x:v>431</x:v>
      </x:c>
      <x:c r="AO5" s="469" t="s">
        <x:v>1321</x:v>
      </x:c>
      <x:c r="AP5" s="330" t="s">
        <x:v>106</x:v>
      </x:c>
      <x:c r="AQ5" s="378" t="s">
        <x:v>431</x:v>
      </x:c>
    </x:row>
    <x:row r="6" spans="1:43" s="396" customFormat="1" ht="80.099999999999994" customHeight="1">
      <x:c r="A6" s="394"/>
      <x:c r="B6" s="179" t="s">
        <x:v>102</x:v>
      </x:c>
      <x:c r="C6" s="399"/>
      <x:c r="D6" s="399"/>
      <x:c r="E6" s="399"/>
      <x:c r="F6" s="399"/>
      <x:c r="G6" s="399"/>
      <x:c r="H6" s="392"/>
      <x:c r="I6" s="392"/>
      <x:c r="J6" s="393" t="str">
        <x:f>SUBTOTAL(3,J$7:J$2000)&amp;"건"</x:f>
        <x:v>3건</x:v>
      </x:c>
      <x:c r="K6" s="491">
        <x:f t="shared" ref="K6:Q6" si="0">SUBTOTAL(9,K$7:K$2000)</x:f>
        <x:v>66558875</x:v>
      </x:c>
      <x:c r="L6" s="491">
        <x:f t="shared" si="0"/>
        <x:v>8115120</x:v>
      </x:c>
      <x:c r="M6" s="491">
        <x:f t="shared" si="0"/>
        <x:v>74673995</x:v>
      </x:c>
      <x:c r="N6" s="491">
        <x:f t="shared" si="0"/>
        <x:v>-1669500</x:v>
      </x:c>
      <x:c r="O6" s="491">
        <x:f t="shared" si="0"/>
        <x:v>73004495</x:v>
      </x:c>
      <x:c r="P6" s="491">
        <x:f t="shared" si="0"/>
        <x:v>0</x:v>
      </x:c>
      <x:c r="Q6" s="491">
        <x:f t="shared" si="0"/>
        <x:v>74673995</x:v>
      </x:c>
      <x:c r="R6" s="400"/>
      <x:c r="S6" s="400"/>
      <x:c r="T6" s="400"/>
      <x:c r="U6" s="400"/>
      <x:c r="V6" s="400"/>
      <x:c r="W6" s="400"/>
      <x:c r="X6" s="401"/>
      <x:c r="Y6" s="402"/>
      <x:c r="Z6" s="491">
        <x:f>SUBTOTAL(9,Z$7:Z$2000)</x:f>
        <x:v>-982000</x:v>
      </x:c>
      <x:c r="AA6" s="491">
        <x:f>SUBTOTAL(9,AA$7:AA$2000)</x:f>
        <x:v>-687500</x:v>
      </x:c>
      <x:c r="AC6" s="491">
        <x:f>SUBTOTAL(9,AC$7:AC$2000)</x:f>
        <x:v>0</x:v>
      </x:c>
      <x:c r="AD6" s="491">
        <x:f>SUBTOTAL(9,AD$7:AD$2000)</x:f>
        <x:v>0</x:v>
      </x:c>
      <x:c r="AF6" s="398"/>
      <x:c r="AG6" s="398"/>
      <x:c r="AI6" s="398"/>
      <x:c r="AK6" s="491">
        <x:f>SUBTOTAL(9,AK$7:AK$2000)</x:f>
        <x:v>0</x:v>
      </x:c>
      <x:c r="AL6" s="180">
        <x:f>SUBTOTAL(9,AL$7:AL$2000)</x:f>
        <x:v>0</x:v>
      </x:c>
      <x:c r="AM6" s="398" t="str">
        <x:f>IF(COUNTIF(AM$7:AM$2000,"@@")&gt;0,"@@","OK")</x:f>
        <x:v>@@</x:v>
      </x:c>
      <x:c r="AO6" s="491">
        <x:f>SUBTOTAL(9,AO$7:AO$2000)</x:f>
        <x:v>0</x:v>
      </x:c>
      <x:c r="AP6" s="180">
        <x:f>SUBTOTAL(9,AP$7:AP$2000)</x:f>
        <x:v>0</x:v>
      </x:c>
      <x:c r="AQ6" s="398" t="str">
        <x:f>IF(COUNTIF(AQ$7:AQ$2000,"@@")&gt;0,"@@","OK")</x:f>
        <x:v>OK</x:v>
      </x:c>
    </x:row>
    <x:row r="7" spans="1:43" ht="69.950000000000003" customHeight="1">
      <x:c r="A7" s="171"/>
      <x:c r="B7" s="888" t="s">
        <x:v>1495</x:v>
      </x:c>
      <x:c r="C7" s="888"/>
      <x:c r="D7" s="888"/>
      <x:c r="E7" s="888"/>
      <x:c r="F7" s="888"/>
      <x:c r="G7" s="888"/>
      <x:c r="H7" s="172"/>
      <x:c r="I7" s="172"/>
      <x:c r="J7" s="349" t="str">
        <x:f>SUBTOTAL(3,J8:J11)&amp;"건"</x:f>
        <x:v>0건</x:v>
      </x:c>
      <x:c r="K7" s="458">
        <x:f t="shared" ref="K7:Q7" si="1">SUBTOTAL(9,K8:K11)</x:f>
        <x:v>0</x:v>
      </x:c>
      <x:c r="L7" s="458">
        <x:f t="shared" si="1"/>
        <x:v>0</x:v>
      </x:c>
      <x:c r="M7" s="458">
        <x:f t="shared" si="1"/>
        <x:v>0</x:v>
      </x:c>
      <x:c r="N7" s="458">
        <x:f t="shared" si="1"/>
        <x:v>0</x:v>
      </x:c>
      <x:c r="O7" s="458">
        <x:f t="shared" si="1"/>
        <x:v>0</x:v>
      </x:c>
      <x:c r="P7" s="458">
        <x:f t="shared" si="1"/>
        <x:v>0</x:v>
      </x:c>
      <x:c r="Q7" s="458">
        <x:f t="shared" si="1"/>
        <x:v>0</x:v>
      </x:c>
      <x:c r="R7" s="171"/>
      <x:c r="S7" s="171"/>
      <x:c r="T7" s="171"/>
      <x:c r="U7" s="171"/>
      <x:c r="V7" s="171"/>
      <x:c r="W7" s="171"/>
      <x:c r="X7" s="173"/>
      <x:c r="Y7" s="43"/>
      <x:c r="Z7" s="458">
        <x:f>SUBTOTAL(9,Z8:Z11)</x:f>
        <x:v>0</x:v>
      </x:c>
      <x:c r="AA7" s="458">
        <x:f>SUBTOTAL(9,AA8:AA11)</x:f>
        <x:v>0</x:v>
      </x:c>
      <x:c r="AB7" s="44"/>
      <x:c r="AC7" s="458">
        <x:f>SUBTOTAL(9,AC8:AC11)</x:f>
        <x:v>0</x:v>
      </x:c>
      <x:c r="AD7" s="458">
        <x:f>SUBTOTAL(9,AD8:AD11)</x:f>
        <x:v>0</x:v>
      </x:c>
      <x:c r="AE7" s="44"/>
      <x:c r="AF7" s="171"/>
      <x:c r="AG7" s="173"/>
      <x:c r="AH7" s="44"/>
      <x:c r="AI7" s="173"/>
      <x:c r="AJ7" s="44"/>
      <x:c r="AK7" s="458">
        <x:f>SUBTOTAL(9,AK8:AK11)</x:f>
        <x:v>0</x:v>
      </x:c>
      <x:c r="AL7" s="458">
        <x:f>SUBTOTAL(9,AL8:AL11)</x:f>
        <x:v>0</x:v>
      </x:c>
      <x:c r="AM7" s="555" t="str">
        <x:f>IF(COUNTIF(AM8:AM11,"@@")&gt;0,"@@","OK")</x:f>
        <x:v>OK</x:v>
      </x:c>
      <x:c r="AN7" s="44"/>
      <x:c r="AO7" s="458">
        <x:f t="shared" ref="AO7:AP7" si="2">SUBTOTAL(9,AO8:AO11)</x:f>
        <x:v>0</x:v>
      </x:c>
      <x:c r="AP7" s="458">
        <x:f t="shared" si="2"/>
        <x:v>0</x:v>
      </x:c>
      <x:c r="AQ7" s="555" t="str">
        <x:f>IF(COUNTIF(AQ8:AQ11,"@@")&gt;0,"@@","OK")</x:f>
        <x:v>OK</x:v>
      </x:c>
    </x:row>
    <x:row r="8" spans="1:43" s="165" customFormat="1" ht="69.950000000000003" customHeight="1">
      <x:c r="A8" s="155" t="str">
        <x:f>IF(D8="","",COUNTA($C$7:C8)-COUNTBLANK($C$7:C8)+1)</x:f>
        <x:v/>
      </x:c>
      <x:c r="B8" s="156" t="str">
        <x: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x:f>
        <x:v/>
      </x:c>
      <x:c r="C8" s="156" t="str">
        <x:f>IF(D8="","",IF(OR(D8="교육지원과"),"소방재난본부",VLOOKUP(D8,구분표!$A$3:$C$258,3,)))</x:f>
        <x:v/>
      </x:c>
      <x:c r="D8" s="226"/>
      <x:c r="E8" s="213"/>
      <x:c r="F8" s="388" t="str">
        <x:f>IF($E8="","",IF($E8="2추","직접입력","-"))</x:f>
        <x:v/>
      </x:c>
      <x:c r="G8" s="388" t="str">
        <x:f>IF($E8="","",IF($E8="2추","직접입력","-"))</x:f>
        <x:v/>
      </x:c>
      <x:c r="H8" s="214"/>
      <x:c r="I8" s="156" t="str">
        <x:f>IF(H8="","",VLOOKUP($H8,구분표!$O$3:$P$168,2,FALSE))</x:f>
        <x:v/>
      </x:c>
      <x:c r="J8" s="215"/>
      <x:c r="K8" s="459" t="str">
        <x:f>IF($E8="","",IF(OR($E8="2추",$E8="1추",$E8="본예산"),"금액입력","-"))</x:f>
        <x:v/>
      </x:c>
      <x:c r="L8" s="459" t="str">
        <x:f>IF($E8="","",IF($E8="2추","금액입력","-"))</x:f>
        <x:v/>
      </x:c>
      <x:c r="M8" s="461" t="str">
        <x:f>IF($E8="","",SUM(K8:L8))</x:f>
        <x:v/>
      </x:c>
      <x:c r="N8" s="460"/>
      <x:c r="O8" s="461">
        <x:f>SUM(M8:N8)</x:f>
        <x:v>0</x:v>
      </x:c>
      <x:c r="P8" s="462"/>
      <x:c r="Q8" s="463">
        <x:f>SUM(M8,P8)</x:f>
        <x:v>0</x:v>
      </x:c>
      <x:c r="R8" s="162" t="str">
        <x:f>IF(AND((O8=0),(Q8&gt;0)),"O",IF(AND((N8&lt;0),(O8-Q8&lt;0)),"O","X"))</x:f>
        <x:v>X</x:v>
      </x:c>
      <x:c r="S8" s="230"/>
      <x:c r="T8" s="229"/>
      <x:c r="U8" s="231"/>
      <x:c r="V8" s="232"/>
      <x:c r="W8" s="231"/>
      <x:c r="X8" s="162" t="str">
        <x:f>IF($H8="","",IF(OR($H8="511-01",$H8="511-02",$H8="511-03",$H8="311-02",$H8="311-04",$H8="321-01"),"국비","도비"))</x:f>
        <x:v/>
      </x:c>
      <x:c r="Y8" s="227"/>
      <x:c r="Z8" s="494" t="str">
        <x:f>IF($X8="","",IF($X8="국비",$N8,0))</x:f>
        <x:v/>
      </x:c>
      <x:c r="AA8" s="494" t="str">
        <x:f>IF($X8="","",IF($X8="도비",$N8,0))</x:f>
        <x:v/>
      </x:c>
      <x:c r="AC8" s="494" t="str">
        <x:f>IF($X8="","",IF($X8="국비",$P8,0))</x:f>
        <x:v/>
      </x:c>
      <x:c r="AD8" s="494" t="str">
        <x:f>IF($X8="","",IF($X8="도비",$P8,0))</x:f>
        <x:v/>
      </x:c>
      <x:c r="AF8" s="374" t="str">
        <x:f>IF(AI8="","",IF($X8="도비","-",CONCATENATE(AI8,"-",COUNTIF($AI$7:AI8,AI8))))</x:f>
        <x:v/>
      </x:c>
      <x:c r="AG8" s="374" t="str">
        <x:f>IF($H8="","",IF($H8="511-01","국비",IF($H8="511-02","균특",IF($H8="511-03","기금",IF($H8="311-02","특교",IF($H8="311-04","소교",IF($H8="321-01","소멸","도비")))))))</x:f>
        <x:v/>
      </x:c>
      <x:c r="AI8" s="374" t="str">
        <x:f t="array" ref="AI8:AI8">IF(OR(D8="",B8="직접입력",C8="직접입력"),"",INDEX(구분표!$I$2:$I$336,MATCH(1,(구분표!$G$2:$G$336='4. 특입'!B8)*(구분표!$E$2:$E$336='4. 특입'!C8)*(구분표!$F$2:$F$336='4. 특입'!D8),0)))</x:f>
        <x:v/>
      </x:c>
      <x:c r="AJ8" s="228"/>
      <x:c r="AK8" s="472" t="str">
        <x:f>IF($AF8="","",IF($AF8="-",0,SUMIFS('4. 특출'!$AB$6:$AB$2000,'4. 특출'!$AJ$6:$AJ$2000,$AF8)))</x:f>
        <x:v/>
      </x:c>
      <x:c r="AL8" s="377" t="str">
        <x:f>IF($AF8="","",IF($AF8="-",0,COUNTIF('4. 특출'!$AJ$6:$AJ$2000,$AF8)))</x:f>
        <x:v/>
      </x:c>
      <x:c r="AM8" s="374" t="str">
        <x:f>IF($AF8="","",IF($Z8=$AK8,"OK","@@"))</x:f>
        <x:v/>
      </x:c>
      <x:c r="AN8" s="228"/>
      <x:c r="AO8" s="472" t="str">
        <x:f>IF($AF8="","",IF($AF8="-",0,SUMIFS('4. 특출'!$AF$6:$AF$2000,'4. 특출'!$AJ$6:$AJ$2000,$AF8)))</x:f>
        <x:v/>
      </x:c>
      <x:c r="AP8" s="377" t="str">
        <x:f>IF($AF8="","",IF($AF8="-",0,COUNTIF('4. 특출'!$AJ$6:$AJ$2000,$AF8)))</x:f>
        <x:v/>
      </x:c>
      <x:c r="AQ8" s="374" t="str">
        <x:f>IF($AF8="","",IF($AC8=$AO8,"OK","@@"))</x:f>
        <x:v/>
      </x:c>
    </x:row>
    <x:row r="9" spans="1:43" s="165" customFormat="1" ht="69.950000000000003" customHeight="1">
      <x:c r="A9" s="155" t="str">
        <x:f>IF(D9="","",COUNTA($C$7:C9)-COUNTBLANK($C$7:C9)+1)</x:f>
        <x:v/>
      </x:c>
      <x:c r="B9" s="156" t="str">
        <x: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x:f>
        <x:v/>
      </x:c>
      <x:c r="C9" s="156" t="str">
        <x:f>IF(D9="","",IF(OR(D9="교육지원과"),"소방재난본부",VLOOKUP(D9,구분표!$A$3:$C$258,3,)))</x:f>
        <x:v/>
      </x:c>
      <x:c r="D9" s="226"/>
      <x:c r="E9" s="213"/>
      <x:c r="F9" s="388" t="str">
        <x:f t="shared" ref="F9:G11" si="3">IF($E9="","",IF($E9="2추","직접입력","-"))</x:f>
        <x:v/>
      </x:c>
      <x:c r="G9" s="388" t="str">
        <x:f t="shared" si="3"/>
        <x:v/>
      </x:c>
      <x:c r="H9" s="214"/>
      <x:c r="I9" s="156" t="str">
        <x:f>IF(H9="","",VLOOKUP($H9,구분표!$O$3:$P$168,2,FALSE))</x:f>
        <x:v/>
      </x:c>
      <x:c r="J9" s="215"/>
      <x:c r="K9" s="459" t="str">
        <x:f t="shared" ref="K9:K11" si="4">IF($E9="","",IF(OR($E9="2추",$E9="1추",$E9="본예산"),"금액입력","-"))</x:f>
        <x:v/>
      </x:c>
      <x:c r="L9" s="459" t="str">
        <x:f t="shared" ref="L9:L11" si="5">IF($E9="","",IF($E9="2추","금액입력","-"))</x:f>
        <x:v/>
      </x:c>
      <x:c r="M9" s="461" t="str">
        <x:f t="shared" ref="M9:M11" si="6">IF($E9="","",SUM(K9:L9))</x:f>
        <x:v/>
      </x:c>
      <x:c r="N9" s="460"/>
      <x:c r="O9" s="461">
        <x:f t="shared" ref="O9:O11" si="7">SUM(M9:N9)</x:f>
        <x:v>0</x:v>
      </x:c>
      <x:c r="P9" s="462"/>
      <x:c r="Q9" s="463">
        <x:f t="shared" ref="Q9:Q11" si="8">SUM(M9,P9)</x:f>
        <x:v>0</x:v>
      </x:c>
      <x:c r="R9" s="162" t="str">
        <x:f t="shared" ref="R9:R11" si="9">IF(AND((O9=0),(Q9&gt;0)),"O",IF(AND((N9&lt;0),(O9-Q9&lt;0)),"O","X"))</x:f>
        <x:v>X</x:v>
      </x:c>
      <x:c r="S9" s="230"/>
      <x:c r="T9" s="229"/>
      <x:c r="U9" s="231"/>
      <x:c r="V9" s="232"/>
      <x:c r="W9" s="231"/>
      <x:c r="X9" s="162" t="str">
        <x:f t="shared" ref="X9:X11" si="10">IF($H9="","",IF(OR($H9="511-01",$H9="511-02",$H9="511-03",$H9="311-02",$H9="311-04",$H9="321-01"),"국비","도비"))</x:f>
        <x:v/>
      </x:c>
      <x:c r="Y9" s="227"/>
      <x:c r="Z9" s="494" t="str">
        <x:f t="shared" ref="Z9:Z11" si="11">IF($X9="","",IF($X9="국비",$N9,0))</x:f>
        <x:v/>
      </x:c>
      <x:c r="AA9" s="494" t="str">
        <x:f t="shared" ref="AA9:AA11" si="12">IF($X9="","",IF($X9="도비",$N9,0))</x:f>
        <x:v/>
      </x:c>
      <x:c r="AC9" s="494" t="str">
        <x:f t="shared" ref="AC9:AC11" si="13">IF($X9="","",IF($X9="국비",$P9,0))</x:f>
        <x:v/>
      </x:c>
      <x:c r="AD9" s="494" t="str">
        <x:f t="shared" ref="AD9:AD11" si="14">IF($X9="","",IF($X9="도비",$P9,0))</x:f>
        <x:v/>
      </x:c>
      <x:c r="AF9" s="374" t="str">
        <x:f>IF(AI9="","",IF($X9="도비","-",CONCATENATE(AI9,"-",COUNTIF($AI$7:AI9,AI9))))</x:f>
        <x:v/>
      </x:c>
      <x:c r="AG9" s="374" t="str">
        <x:f t="shared" ref="AG9:AG11" si="15">IF($H9="","",IF($H9="511-01","국비",IF($H9="511-02","균특",IF($H9="511-03","기금",IF($H9="311-02","특교",IF($H9="311-04","소교",IF($H9="321-01","소멸","도비")))))))</x:f>
        <x:v/>
      </x:c>
      <x:c r="AI9" s="374" t="str">
        <x:f t="array" ref="AI9:AI9">IF(OR(D9="",B9="직접입력",C9="직접입력"),"",INDEX(구분표!$I$2:$I$336,MATCH(1,(구분표!$G$2:$G$336='4. 특입'!B9)*(구분표!$E$2:$E$336='4. 특입'!C9)*(구분표!$F$2:$F$336='4. 특입'!D9),0)))</x:f>
        <x:v/>
      </x:c>
      <x:c r="AJ9" s="228"/>
      <x:c r="AK9" s="472" t="str">
        <x:f>IF($AF9="","",IF($AF9="-",0,SUMIFS('4. 특출'!$AB$6:$AB$2000,'4. 특출'!$AJ$6:$AJ$2000,$AF9)))</x:f>
        <x:v/>
      </x:c>
      <x:c r="AL9" s="377" t="str">
        <x:f>IF($AF9="","",IF($AF9="-",0,COUNTIF('4. 특출'!$AJ$6:$AJ$2000,$AF9)))</x:f>
        <x:v/>
      </x:c>
      <x:c r="AM9" s="374" t="str">
        <x:f t="shared" ref="AM9:AM11" si="16">IF($AF9="","",IF($Z9=$AK9,"OK","@@"))</x:f>
        <x:v/>
      </x:c>
      <x:c r="AN9" s="228"/>
      <x:c r="AO9" s="472" t="str">
        <x:f>IF($AF9="","",IF($AF9="-",0,SUMIFS('4. 특출'!$AF$6:$AF$2000,'4. 특출'!$AJ$6:$AJ$2000,$AF9)))</x:f>
        <x:v/>
      </x:c>
      <x:c r="AP9" s="377" t="str">
        <x:f>IF($AF9="","",IF($AF9="-",0,COUNTIF('4. 특출'!$AJ$6:$AJ$2000,$AF9)))</x:f>
        <x:v/>
      </x:c>
      <x:c r="AQ9" s="374" t="str">
        <x:f t="shared" ref="AQ9:AQ11" si="17">IF($AF9="","",IF($AC9=$AO9,"OK","@@"))</x:f>
        <x:v/>
      </x:c>
    </x:row>
    <x:row r="10" spans="1:43" s="165" customFormat="1" ht="69.950000000000003" customHeight="1">
      <x:c r="A10" s="155" t="str">
        <x:f>IF(D10="","",COUNTA($C$7:C10)-COUNTBLANK($C$7:C10)+1)</x:f>
        <x:v/>
      </x:c>
      <x:c r="B10" s="156" t="str">
        <x: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x:f>
        <x:v/>
      </x:c>
      <x:c r="C10" s="156" t="str">
        <x:f>IF(D10="","",IF(OR(D10="교육지원과"),"소방재난본부",VLOOKUP(D10,구분표!$A$3:$C$258,3,)))</x:f>
        <x:v/>
      </x:c>
      <x:c r="D10" s="226"/>
      <x:c r="E10" s="213"/>
      <x:c r="F10" s="388" t="str">
        <x:f t="shared" si="3"/>
        <x:v/>
      </x:c>
      <x:c r="G10" s="388" t="str">
        <x:f t="shared" si="3"/>
        <x:v/>
      </x:c>
      <x:c r="H10" s="214"/>
      <x:c r="I10" s="156" t="str">
        <x:f>IF(H10="","",VLOOKUP($H10,구분표!$O$3:$P$168,2,FALSE))</x:f>
        <x:v/>
      </x:c>
      <x:c r="J10" s="215"/>
      <x:c r="K10" s="459" t="str">
        <x:f t="shared" si="4"/>
        <x:v/>
      </x:c>
      <x:c r="L10" s="459" t="str">
        <x:f t="shared" si="5"/>
        <x:v/>
      </x:c>
      <x:c r="M10" s="461" t="str">
        <x:f t="shared" si="6"/>
        <x:v/>
      </x:c>
      <x:c r="N10" s="460"/>
      <x:c r="O10" s="461">
        <x:f t="shared" si="7"/>
        <x:v>0</x:v>
      </x:c>
      <x:c r="P10" s="462"/>
      <x:c r="Q10" s="463">
        <x:f t="shared" si="8"/>
        <x:v>0</x:v>
      </x:c>
      <x:c r="R10" s="162" t="str">
        <x:f t="shared" si="9"/>
        <x:v>X</x:v>
      </x:c>
      <x:c r="S10" s="230"/>
      <x:c r="T10" s="229"/>
      <x:c r="U10" s="231"/>
      <x:c r="V10" s="232"/>
      <x:c r="W10" s="231"/>
      <x:c r="X10" s="162" t="str">
        <x:f t="shared" si="10"/>
        <x:v/>
      </x:c>
      <x:c r="Y10" s="227"/>
      <x:c r="Z10" s="494" t="str">
        <x:f t="shared" si="11"/>
        <x:v/>
      </x:c>
      <x:c r="AA10" s="494" t="str">
        <x:f t="shared" si="12"/>
        <x:v/>
      </x:c>
      <x:c r="AC10" s="494" t="str">
        <x:f t="shared" si="13"/>
        <x:v/>
      </x:c>
      <x:c r="AD10" s="494" t="str">
        <x:f t="shared" si="14"/>
        <x:v/>
      </x:c>
      <x:c r="AF10" s="374" t="str">
        <x:f>IF(AI10="","",IF($X10="도비","-",CONCATENATE(AI10,"-",COUNTIF($AI$7:AI10,AI10))))</x:f>
        <x:v/>
      </x:c>
      <x:c r="AG10" s="374" t="str">
        <x:f t="shared" si="15"/>
        <x:v/>
      </x:c>
      <x:c r="AI10" s="374" t="str">
        <x:f t="array" ref="AI10:AI10">IF(OR(D10="",B10="직접입력",C10="직접입력"),"",INDEX(구분표!$I$2:$I$336,MATCH(1,(구분표!$G$2:$G$336='4. 특입'!B10)*(구분표!$E$2:$E$336='4. 특입'!C10)*(구분표!$F$2:$F$336='4. 특입'!D10),0)))</x:f>
        <x:v/>
      </x:c>
      <x:c r="AJ10" s="228"/>
      <x:c r="AK10" s="472" t="str">
        <x:f>IF($AF10="","",IF($AF10="-",0,SUMIFS('4. 특출'!$AB$6:$AB$2000,'4. 특출'!$AJ$6:$AJ$2000,$AF10)))</x:f>
        <x:v/>
      </x:c>
      <x:c r="AL10" s="377" t="str">
        <x:f>IF($AF10="","",IF($AF10="-",0,COUNTIF('4. 특출'!$AJ$6:$AJ$2000,$AF10)))</x:f>
        <x:v/>
      </x:c>
      <x:c r="AM10" s="374" t="str">
        <x:f t="shared" si="16"/>
        <x:v/>
      </x:c>
      <x:c r="AN10" s="228"/>
      <x:c r="AO10" s="472" t="str">
        <x:f>IF($AF10="","",IF($AF10="-",0,SUMIFS('4. 특출'!$AF$6:$AF$2000,'4. 특출'!$AJ$6:$AJ$2000,$AF10)))</x:f>
        <x:v/>
      </x:c>
      <x:c r="AP10" s="377" t="str">
        <x:f>IF($AF10="","",IF($AF10="-",0,COUNTIF('4. 특출'!$AJ$6:$AJ$2000,$AF10)))</x:f>
        <x:v/>
      </x:c>
      <x:c r="AQ10" s="374" t="str">
        <x:f t="shared" si="17"/>
        <x:v/>
      </x:c>
    </x:row>
    <x:row r="11" spans="1:43" s="165" customFormat="1" ht="69.950000000000003" customHeight="1">
      <x:c r="A11" s="155" t="str">
        <x:f>IF(D11="","",COUNTA($C$7:C11)-COUNTBLANK($C$7:C11)+1)</x:f>
        <x:v/>
      </x:c>
      <x:c r="B11" s="156" t="str">
        <x: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x:f>
        <x:v/>
      </x:c>
      <x:c r="C11" s="156" t="str">
        <x:f>IF(D11="","",IF(OR(D11="교육지원과"),"소방재난본부",VLOOKUP(D11,구분표!$A$3:$C$258,3,)))</x:f>
        <x:v/>
      </x:c>
      <x:c r="D11" s="226"/>
      <x:c r="E11" s="213"/>
      <x:c r="F11" s="388" t="str">
        <x:f t="shared" si="3"/>
        <x:v/>
      </x:c>
      <x:c r="G11" s="388" t="str">
        <x:f t="shared" si="3"/>
        <x:v/>
      </x:c>
      <x:c r="H11" s="214"/>
      <x:c r="I11" s="156" t="str">
        <x:f>IF(H11="","",VLOOKUP($H11,구분표!$O$3:$P$168,2,FALSE))</x:f>
        <x:v/>
      </x:c>
      <x:c r="J11" s="215"/>
      <x:c r="K11" s="459" t="str">
        <x:f t="shared" si="4"/>
        <x:v/>
      </x:c>
      <x:c r="L11" s="459" t="str">
        <x:f t="shared" si="5"/>
        <x:v/>
      </x:c>
      <x:c r="M11" s="461" t="str">
        <x:f t="shared" si="6"/>
        <x:v/>
      </x:c>
      <x:c r="N11" s="460"/>
      <x:c r="O11" s="461">
        <x:f t="shared" si="7"/>
        <x:v>0</x:v>
      </x:c>
      <x:c r="P11" s="462"/>
      <x:c r="Q11" s="463">
        <x:f t="shared" si="8"/>
        <x:v>0</x:v>
      </x:c>
      <x:c r="R11" s="162" t="str">
        <x:f t="shared" si="9"/>
        <x:v>X</x:v>
      </x:c>
      <x:c r="S11" s="230"/>
      <x:c r="T11" s="229"/>
      <x:c r="U11" s="231"/>
      <x:c r="V11" s="232"/>
      <x:c r="W11" s="231"/>
      <x:c r="X11" s="162" t="str">
        <x:f t="shared" si="10"/>
        <x:v/>
      </x:c>
      <x:c r="Y11" s="227"/>
      <x:c r="Z11" s="494" t="str">
        <x:f t="shared" si="11"/>
        <x:v/>
      </x:c>
      <x:c r="AA11" s="494" t="str">
        <x:f t="shared" si="12"/>
        <x:v/>
      </x:c>
      <x:c r="AC11" s="494" t="str">
        <x:f t="shared" si="13"/>
        <x:v/>
      </x:c>
      <x:c r="AD11" s="494" t="str">
        <x:f t="shared" si="14"/>
        <x:v/>
      </x:c>
      <x:c r="AF11" s="374" t="str">
        <x:f>IF(AI11="","",IF($X11="도비","-",CONCATENATE(AI11,"-",COUNTIF($AI$7:AI11,AI11))))</x:f>
        <x:v/>
      </x:c>
      <x:c r="AG11" s="374" t="str">
        <x:f t="shared" si="15"/>
        <x:v/>
      </x:c>
      <x:c r="AI11" s="374" t="str">
        <x:f t="array" ref="AI11:AI11">IF(OR(D11="",B11="직접입력",C11="직접입력"),"",INDEX(구분표!$I$2:$I$336,MATCH(1,(구분표!$G$2:$G$336='4. 특입'!B11)*(구분표!$E$2:$E$336='4. 특입'!C11)*(구분표!$F$2:$F$336='4. 특입'!D11),0)))</x:f>
        <x:v/>
      </x:c>
      <x:c r="AJ11" s="228"/>
      <x:c r="AK11" s="472" t="str">
        <x:f>IF($AF11="","",IF($AF11="-",0,SUMIFS('4. 특출'!$AB$6:$AB$2000,'4. 특출'!$AJ$6:$AJ$2000,$AF11)))</x:f>
        <x:v/>
      </x:c>
      <x:c r="AL11" s="377" t="str">
        <x:f>IF($AF11="","",IF($AF11="-",0,COUNTIF('4. 특출'!$AJ$6:$AJ$2000,$AF11)))</x:f>
        <x:v/>
      </x:c>
      <x:c r="AM11" s="374" t="str">
        <x:f t="shared" si="16"/>
        <x:v/>
      </x:c>
      <x:c r="AN11" s="228"/>
      <x:c r="AO11" s="472" t="str">
        <x:f>IF($AF11="","",IF($AF11="-",0,SUMIFS('4. 특출'!$AF$6:$AF$2000,'4. 특출'!$AJ$6:$AJ$2000,$AF11)))</x:f>
        <x:v/>
      </x:c>
      <x:c r="AP11" s="377" t="str">
        <x:f>IF($AF11="","",IF($AF11="-",0,COUNTIF('4. 특출'!$AJ$6:$AJ$2000,$AF11)))</x:f>
        <x:v/>
      </x:c>
      <x:c r="AQ11" s="374" t="str">
        <x:f t="shared" si="17"/>
        <x:v/>
      </x:c>
    </x:row>
    <x:row r="12" spans="1:43" ht="69.950000000000003" customHeight="1">
      <x:c r="A12" s="171"/>
      <x:c r="B12" s="888" t="s">
        <x:v>564</x:v>
      </x:c>
      <x:c r="C12" s="888"/>
      <x:c r="D12" s="888"/>
      <x:c r="E12" s="888"/>
      <x:c r="F12" s="888"/>
      <x:c r="G12" s="888"/>
      <x:c r="H12" s="172"/>
      <x:c r="I12" s="172"/>
      <x:c r="J12" s="349" t="str">
        <x:f>SUBTOTAL(3,J13:J16)&amp;"건"</x:f>
        <x:v>0건</x:v>
      </x:c>
      <x:c r="K12" s="458">
        <x:f t="shared" ref="K12:Q12" si="18">SUBTOTAL(9,K13:K16)</x:f>
        <x:v>0</x:v>
      </x:c>
      <x:c r="L12" s="458">
        <x:f t="shared" si="18"/>
        <x:v>0</x:v>
      </x:c>
      <x:c r="M12" s="458">
        <x:f t="shared" si="18"/>
        <x:v>0</x:v>
      </x:c>
      <x:c r="N12" s="458">
        <x:f t="shared" si="18"/>
        <x:v>0</x:v>
      </x:c>
      <x:c r="O12" s="458">
        <x:f t="shared" si="18"/>
        <x:v>0</x:v>
      </x:c>
      <x:c r="P12" s="458">
        <x:f t="shared" si="18"/>
        <x:v>0</x:v>
      </x:c>
      <x:c r="Q12" s="458">
        <x:f t="shared" si="18"/>
        <x:v>0</x:v>
      </x:c>
      <x:c r="R12" s="171"/>
      <x:c r="S12" s="171"/>
      <x:c r="T12" s="171"/>
      <x:c r="U12" s="171"/>
      <x:c r="V12" s="171"/>
      <x:c r="W12" s="171"/>
      <x:c r="X12" s="173"/>
      <x:c r="Y12" s="43"/>
      <x:c r="Z12" s="458">
        <x:f>SUBTOTAL(9,Z13:Z16)</x:f>
        <x:v>0</x:v>
      </x:c>
      <x:c r="AA12" s="458">
        <x:f>SUBTOTAL(9,AA13:AA16)</x:f>
        <x:v>0</x:v>
      </x:c>
      <x:c r="AB12" s="44"/>
      <x:c r="AC12" s="458">
        <x:f>SUBTOTAL(9,AC13:AC16)</x:f>
        <x:v>0</x:v>
      </x:c>
      <x:c r="AD12" s="458">
        <x:f>SUBTOTAL(9,AD13:AD16)</x:f>
        <x:v>0</x:v>
      </x:c>
      <x:c r="AE12" s="44"/>
      <x:c r="AF12" s="171"/>
      <x:c r="AG12" s="173"/>
      <x:c r="AH12" s="44"/>
      <x:c r="AI12" s="173"/>
      <x:c r="AJ12" s="44"/>
      <x:c r="AK12" s="458">
        <x:f>SUBTOTAL(9,AK13:AK16)</x:f>
        <x:v>0</x:v>
      </x:c>
      <x:c r="AL12" s="458">
        <x:f>SUBTOTAL(9,AL13:AL16)</x:f>
        <x:v>0</x:v>
      </x:c>
      <x:c r="AM12" s="555" t="str">
        <x:f>IF(COUNTIF(AM13:AM16,"@@")&gt;0,"@@","OK")</x:f>
        <x:v>OK</x:v>
      </x:c>
      <x:c r="AN12" s="44"/>
      <x:c r="AO12" s="458">
        <x:f>SUBTOTAL(9,AO13:AO16)</x:f>
        <x:v>0</x:v>
      </x:c>
      <x:c r="AP12" s="458">
        <x:f>SUBTOTAL(9,AP13:AP16)</x:f>
        <x:v>0</x:v>
      </x:c>
      <x:c r="AQ12" s="555" t="str">
        <x:f>IF(COUNTIF(AQ13:AQ16,"@@")&gt;0,"@@","OK")</x:f>
        <x:v>OK</x:v>
      </x:c>
    </x:row>
    <x:row r="13" spans="1:43" s="165" customFormat="1" ht="69.950000000000003" customHeight="1">
      <x:c r="A13" s="155" t="str">
        <x:f>IF(D13="","",COUNTA($C$7:C13)-COUNTBLANK($C$7:C13)+2)</x:f>
        <x:v/>
      </x:c>
      <x:c r="B13" s="156" t="str">
        <x: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x:f>
        <x:v/>
      </x:c>
      <x:c r="C13" s="156" t="str">
        <x:f>IF(D13="","",IF(OR(D13="교육지원과"),"소방재난본부",VLOOKUP(D13,구분표!$A$3:$C$258,3,)))</x:f>
        <x:v/>
      </x:c>
      <x:c r="D13" s="226"/>
      <x:c r="E13" s="213"/>
      <x:c r="F13" s="388" t="str">
        <x:f>IF($E13="","",IF($E13="2추","직접입력","-"))</x:f>
        <x:v/>
      </x:c>
      <x:c r="G13" s="388" t="str">
        <x:f>IF($E13="","",IF($E13="2추","직접입력","-"))</x:f>
        <x:v/>
      </x:c>
      <x:c r="H13" s="214"/>
      <x:c r="I13" s="156" t="str">
        <x:f>IF(H13="","",VLOOKUP($H13,구분표!$O$3:$P$168,2,FALSE))</x:f>
        <x:v/>
      </x:c>
      <x:c r="J13" s="215"/>
      <x:c r="K13" s="459" t="str">
        <x:f>IF($E13="","",IF(OR($E13="2추",$E13="1추",$E13="본예산"),"금액입력","-"))</x:f>
        <x:v/>
      </x:c>
      <x:c r="L13" s="459" t="str">
        <x:f>IF($E13="","",IF($E13="2추","금액입력","-"))</x:f>
        <x:v/>
      </x:c>
      <x:c r="M13" s="461" t="str">
        <x:f t="shared" ref="M13:M16" si="19">IF($E13="","",SUM(K13:L13))</x:f>
        <x:v/>
      </x:c>
      <x:c r="N13" s="460"/>
      <x:c r="O13" s="461">
        <x:f t="shared" ref="O13:O16" si="20">SUM(M13:N13)</x:f>
        <x:v>0</x:v>
      </x:c>
      <x:c r="P13" s="462"/>
      <x:c r="Q13" s="463">
        <x:f t="shared" ref="Q13:Q16" si="21">SUM(M13,P13)</x:f>
        <x:v>0</x:v>
      </x:c>
      <x:c r="R13" s="162" t="str">
        <x:f t="shared" ref="R13:R16" si="22">IF(AND((O13=0),(Q13&gt;0)),"O",IF(AND((N13&lt;0),(O13-Q13&lt;0)),"O","X"))</x:f>
        <x:v>X</x:v>
      </x:c>
      <x:c r="S13" s="230"/>
      <x:c r="T13" s="229"/>
      <x:c r="U13" s="231"/>
      <x:c r="V13" s="232"/>
      <x:c r="W13" s="231"/>
      <x:c r="X13" s="162" t="str">
        <x:f t="shared" ref="X13:X16" si="23">IF($H13="","",IF(OR($H13="511-01",$H13="511-02",$H13="511-03",$H13="311-02",$H13="311-04",$H13="321-01"),"국비","도비"))</x:f>
        <x:v/>
      </x:c>
      <x:c r="Y13" s="227"/>
      <x:c r="Z13" s="494" t="str">
        <x:f t="shared" ref="Z13:Z16" si="24">IF($X13="","",IF($X13="국비",$N13,0))</x:f>
        <x:v/>
      </x:c>
      <x:c r="AA13" s="494" t="str">
        <x:f t="shared" ref="AA13:AA16" si="25">IF($X13="","",IF($X13="도비",$N13,0))</x:f>
        <x:v/>
      </x:c>
      <x:c r="AC13" s="494" t="str">
        <x:f t="shared" ref="AC13:AC16" si="26">IF($X13="","",IF($X13="국비",$P13,0))</x:f>
        <x:v/>
      </x:c>
      <x:c r="AD13" s="494" t="str">
        <x:f t="shared" ref="AD13:AD16" si="27">IF($X13="","",IF($X13="도비",$P13,0))</x:f>
        <x:v/>
      </x:c>
      <x:c r="AF13" s="374" t="str">
        <x:f>IF(AI13="","",IF($X13="도비","-",CONCATENATE(AI13,"-",COUNTIF($AI$7:AI13,AI13))))</x:f>
        <x:v/>
      </x:c>
      <x:c r="AG13" s="374" t="str">
        <x:f t="shared" ref="AG13:AG16" si="28">IF($H13="","",IF($H13="511-01","국비",IF($H13="511-02","균특",IF($H13="511-03","기금",IF($H13="311-02","특교",IF($H13="311-04","소교",IF($H13="321-01","소멸","도비")))))))</x:f>
        <x:v/>
      </x:c>
      <x:c r="AI13" s="374" t="str">
        <x:f t="array" ref="AI13:AI13">IF(OR(D13="",B13="직접입력",C13="직접입력"),"",INDEX(구분표!$I$2:$I$336,MATCH(1,(구분표!$G$2:$G$336='4. 특입'!B13)*(구분표!$E$2:$E$336='4. 특입'!C13)*(구분표!$F$2:$F$336='4. 특입'!D13),0)))</x:f>
        <x:v/>
      </x:c>
      <x:c r="AJ13" s="228"/>
      <x:c r="AK13" s="472" t="str">
        <x:f>IF($AF13="","",IF($AF13="-",0,SUMIFS('4. 특출'!$AB$6:$AB$2000,'4. 특출'!$AJ$6:$AJ$2000,$AF13)))</x:f>
        <x:v/>
      </x:c>
      <x:c r="AL13" s="377" t="str">
        <x:f>IF($AF13="","",IF($AF13="-",0,COUNTIF('4. 특출'!$AJ$6:$AJ$2000,$AF13)))</x:f>
        <x:v/>
      </x:c>
      <x:c r="AM13" s="374" t="str">
        <x:f t="shared" ref="AM13:AM16" si="29">IF($AF13="","",IF($Z13=$AK13,"OK","@@"))</x:f>
        <x:v/>
      </x:c>
      <x:c r="AN13" s="228"/>
      <x:c r="AO13" s="472" t="str">
        <x:f>IF($AF13="","",IF($AF13="-",0,SUMIFS('4. 특출'!$AF$6:$AF$2000,'4. 특출'!$AJ$6:$AJ$2000,$AF13)))</x:f>
        <x:v/>
      </x:c>
      <x:c r="AP13" s="377" t="str">
        <x:f>IF($AF13="","",IF($AF13="-",0,COUNTIF('4. 특출'!$AJ$6:$AJ$2000,$AF13)))</x:f>
        <x:v/>
      </x:c>
      <x:c r="AQ13" s="374" t="str">
        <x:f t="shared" ref="AQ13:AQ16" si="30">IF($AF13="","",IF($AC13=$AO13,"OK","@@"))</x:f>
        <x:v/>
      </x:c>
    </x:row>
    <x:row r="14" spans="1:43" s="165" customFormat="1" ht="69.950000000000003" customHeight="1">
      <x:c r="A14" s="155" t="str">
        <x:f>IF(D14="","",COUNTA($C$7:C14)-COUNTBLANK($C$7:C14)+2)</x:f>
        <x:v/>
      </x:c>
      <x:c r="B14" s="156" t="str">
        <x: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x:f>
        <x:v/>
      </x:c>
      <x:c r="C14" s="156" t="str">
        <x:f>IF(D14="","",IF(OR(D14="교육지원과"),"소방재난본부",VLOOKUP(D14,구분표!$A$3:$C$258,3,)))</x:f>
        <x:v/>
      </x:c>
      <x:c r="D14" s="226"/>
      <x:c r="E14" s="213"/>
      <x:c r="F14" s="388" t="str">
        <x:f t="shared" ref="F14:G16" si="31">IF($E14="","",IF($E14="2추","직접입력","-"))</x:f>
        <x:v/>
      </x:c>
      <x:c r="G14" s="388" t="str">
        <x:f t="shared" si="31"/>
        <x:v/>
      </x:c>
      <x:c r="H14" s="214"/>
      <x:c r="I14" s="156" t="str">
        <x:f>IF(H14="","",VLOOKUP($H14,구분표!$O$3:$P$168,2,FALSE))</x:f>
        <x:v/>
      </x:c>
      <x:c r="J14" s="215"/>
      <x:c r="K14" s="459" t="str">
        <x:f t="shared" ref="K14:K16" si="32">IF($E14="","",IF(OR($E14="2추",$E14="1추",$E14="본예산"),"금액입력","-"))</x:f>
        <x:v/>
      </x:c>
      <x:c r="L14" s="459" t="str">
        <x:f t="shared" ref="L14:L16" si="33">IF($E14="","",IF($E14="2추","금액입력","-"))</x:f>
        <x:v/>
      </x:c>
      <x:c r="M14" s="461" t="str">
        <x:f t="shared" si="19"/>
        <x:v/>
      </x:c>
      <x:c r="N14" s="460"/>
      <x:c r="O14" s="461">
        <x:f t="shared" si="20"/>
        <x:v>0</x:v>
      </x:c>
      <x:c r="P14" s="462"/>
      <x:c r="Q14" s="463">
        <x:f t="shared" si="21"/>
        <x:v>0</x:v>
      </x:c>
      <x:c r="R14" s="162" t="str">
        <x:f t="shared" si="22"/>
        <x:v>X</x:v>
      </x:c>
      <x:c r="S14" s="230"/>
      <x:c r="T14" s="229"/>
      <x:c r="U14" s="231"/>
      <x:c r="V14" s="232"/>
      <x:c r="W14" s="231"/>
      <x:c r="X14" s="162" t="str">
        <x:f t="shared" si="23"/>
        <x:v/>
      </x:c>
      <x:c r="Y14" s="227"/>
      <x:c r="Z14" s="494" t="str">
        <x:f t="shared" si="24"/>
        <x:v/>
      </x:c>
      <x:c r="AA14" s="494" t="str">
        <x:f t="shared" si="25"/>
        <x:v/>
      </x:c>
      <x:c r="AC14" s="494" t="str">
        <x:f t="shared" si="26"/>
        <x:v/>
      </x:c>
      <x:c r="AD14" s="494" t="str">
        <x:f t="shared" si="27"/>
        <x:v/>
      </x:c>
      <x:c r="AF14" s="374" t="str">
        <x:f>IF(AI14="","",IF($X14="도비","-",CONCATENATE(AI14,"-",COUNTIF($AI$7:AI14,AI14))))</x:f>
        <x:v/>
      </x:c>
      <x:c r="AG14" s="374" t="str">
        <x:f t="shared" si="28"/>
        <x:v/>
      </x:c>
      <x:c r="AI14" s="374" t="str">
        <x:f t="array" ref="AI14:AI14">IF(OR(D14="",B14="직접입력",C14="직접입력"),"",INDEX(구분표!$I$2:$I$336,MATCH(1,(구분표!$G$2:$G$336='4. 특입'!B14)*(구분표!$E$2:$E$336='4. 특입'!C14)*(구분표!$F$2:$F$336='4. 특입'!D14),0)))</x:f>
        <x:v/>
      </x:c>
      <x:c r="AJ14" s="228"/>
      <x:c r="AK14" s="472" t="str">
        <x:f>IF($AF14="","",IF($AF14="-",0,SUMIFS('4. 특출'!$AB$6:$AB$2000,'4. 특출'!$AJ$6:$AJ$2000,$AF14)))</x:f>
        <x:v/>
      </x:c>
      <x:c r="AL14" s="377" t="str">
        <x:f>IF($AF14="","",IF($AF14="-",0,COUNTIF('4. 특출'!$AJ$6:$AJ$2000,$AF14)))</x:f>
        <x:v/>
      </x:c>
      <x:c r="AM14" s="374" t="str">
        <x:f t="shared" si="29"/>
        <x:v/>
      </x:c>
      <x:c r="AN14" s="228"/>
      <x:c r="AO14" s="472" t="str">
        <x:f>IF($AF14="","",IF($AF14="-",0,SUMIFS('4. 특출'!$AF$6:$AF$2000,'4. 특출'!$AJ$6:$AJ$2000,$AF14)))</x:f>
        <x:v/>
      </x:c>
      <x:c r="AP14" s="377" t="str">
        <x:f>IF($AF14="","",IF($AF14="-",0,COUNTIF('4. 특출'!$AJ$6:$AJ$2000,$AF14)))</x:f>
        <x:v/>
      </x:c>
      <x:c r="AQ14" s="374" t="str">
        <x:f t="shared" si="30"/>
        <x:v/>
      </x:c>
    </x:row>
    <x:row r="15" spans="1:43" s="165" customFormat="1" ht="69.950000000000003" customHeight="1">
      <x:c r="A15" s="155" t="str">
        <x:f>IF(D15="","",COUNTA($C$7:C15)-COUNTBLANK($C$7:C15)+2)</x:f>
        <x:v/>
      </x:c>
      <x:c r="B15" s="156" t="str">
        <x: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x:f>
        <x:v/>
      </x:c>
      <x:c r="C15" s="156" t="str">
        <x:f>IF(D15="","",IF(OR(D15="교육지원과"),"소방재난본부",VLOOKUP(D15,구분표!$A$3:$C$258,3,)))</x:f>
        <x:v/>
      </x:c>
      <x:c r="D15" s="226"/>
      <x:c r="E15" s="213"/>
      <x:c r="F15" s="388" t="str">
        <x:f t="shared" si="31"/>
        <x:v/>
      </x:c>
      <x:c r="G15" s="388" t="str">
        <x:f t="shared" si="31"/>
        <x:v/>
      </x:c>
      <x:c r="H15" s="214"/>
      <x:c r="I15" s="156" t="str">
        <x:f>IF(H15="","",VLOOKUP($H15,구분표!$O$3:$P$168,2,FALSE))</x:f>
        <x:v/>
      </x:c>
      <x:c r="J15" s="215"/>
      <x:c r="K15" s="459" t="str">
        <x:f t="shared" si="32"/>
        <x:v/>
      </x:c>
      <x:c r="L15" s="459" t="str">
        <x:f t="shared" si="33"/>
        <x:v/>
      </x:c>
      <x:c r="M15" s="461" t="str">
        <x:f t="shared" si="19"/>
        <x:v/>
      </x:c>
      <x:c r="N15" s="460"/>
      <x:c r="O15" s="461">
        <x:f t="shared" si="20"/>
        <x:v>0</x:v>
      </x:c>
      <x:c r="P15" s="462"/>
      <x:c r="Q15" s="463">
        <x:f t="shared" si="21"/>
        <x:v>0</x:v>
      </x:c>
      <x:c r="R15" s="162" t="str">
        <x:f t="shared" si="22"/>
        <x:v>X</x:v>
      </x:c>
      <x:c r="S15" s="230"/>
      <x:c r="T15" s="229"/>
      <x:c r="U15" s="231"/>
      <x:c r="V15" s="232"/>
      <x:c r="W15" s="231"/>
      <x:c r="X15" s="162" t="str">
        <x:f t="shared" si="23"/>
        <x:v/>
      </x:c>
      <x:c r="Y15" s="227"/>
      <x:c r="Z15" s="494" t="str">
        <x:f t="shared" si="24"/>
        <x:v/>
      </x:c>
      <x:c r="AA15" s="494" t="str">
        <x:f t="shared" si="25"/>
        <x:v/>
      </x:c>
      <x:c r="AC15" s="494" t="str">
        <x:f t="shared" si="26"/>
        <x:v/>
      </x:c>
      <x:c r="AD15" s="494" t="str">
        <x:f t="shared" si="27"/>
        <x:v/>
      </x:c>
      <x:c r="AF15" s="374" t="str">
        <x:f>IF(AI15="","",IF($X15="도비","-",CONCATENATE(AI15,"-",COUNTIF($AI$7:AI15,AI15))))</x:f>
        <x:v/>
      </x:c>
      <x:c r="AG15" s="374" t="str">
        <x:f t="shared" si="28"/>
        <x:v/>
      </x:c>
      <x:c r="AI15" s="374" t="str">
        <x:f t="array" ref="AI15:AI15">IF(OR(D15="",B15="직접입력",C15="직접입력"),"",INDEX(구분표!$I$2:$I$336,MATCH(1,(구분표!$G$2:$G$336='4. 특입'!B15)*(구분표!$E$2:$E$336='4. 특입'!C15)*(구분표!$F$2:$F$336='4. 특입'!D15),0)))</x:f>
        <x:v/>
      </x:c>
      <x:c r="AJ15" s="228"/>
      <x:c r="AK15" s="472" t="str">
        <x:f>IF($AF15="","",IF($AF15="-",0,SUMIFS('4. 특출'!$AB$6:$AB$2000,'4. 특출'!$AJ$6:$AJ$2000,$AF15)))</x:f>
        <x:v/>
      </x:c>
      <x:c r="AL15" s="377" t="str">
        <x:f>IF($AF15="","",IF($AF15="-",0,COUNTIF('4. 특출'!$AJ$6:$AJ$2000,$AF15)))</x:f>
        <x:v/>
      </x:c>
      <x:c r="AM15" s="374" t="str">
        <x:f t="shared" si="29"/>
        <x:v/>
      </x:c>
      <x:c r="AN15" s="228"/>
      <x:c r="AO15" s="472" t="str">
        <x:f>IF($AF15="","",IF($AF15="-",0,SUMIFS('4. 특출'!$AF$6:$AF$2000,'4. 특출'!$AJ$6:$AJ$2000,$AF15)))</x:f>
        <x:v/>
      </x:c>
      <x:c r="AP15" s="377" t="str">
        <x:f>IF($AF15="","",IF($AF15="-",0,COUNTIF('4. 특출'!$AJ$6:$AJ$2000,$AF15)))</x:f>
        <x:v/>
      </x:c>
      <x:c r="AQ15" s="374" t="str">
        <x:f t="shared" si="30"/>
        <x:v/>
      </x:c>
    </x:row>
    <x:row r="16" spans="1:43" s="165" customFormat="1" ht="69.950000000000003" customHeight="1">
      <x:c r="A16" s="155" t="str">
        <x:f>IF(D16="","",COUNTA($C$7:C16)-COUNTBLANK($C$7:C16)+2)</x:f>
        <x:v/>
      </x:c>
      <x:c r="B16" s="156" t="str">
        <x: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x:f>
        <x:v/>
      </x:c>
      <x:c r="C16" s="156" t="str">
        <x:f>IF(D16="","",IF(OR(D16="교육지원과"),"소방재난본부",VLOOKUP(D16,구분표!$A$3:$C$258,3,)))</x:f>
        <x:v/>
      </x:c>
      <x:c r="D16" s="226"/>
      <x:c r="E16" s="213"/>
      <x:c r="F16" s="388" t="str">
        <x:f t="shared" si="31"/>
        <x:v/>
      </x:c>
      <x:c r="G16" s="388" t="str">
        <x:f t="shared" si="31"/>
        <x:v/>
      </x:c>
      <x:c r="H16" s="214"/>
      <x:c r="I16" s="156" t="str">
        <x:f>IF(H16="","",VLOOKUP($H16,구분표!$O$3:$P$168,2,FALSE))</x:f>
        <x:v/>
      </x:c>
      <x:c r="J16" s="215"/>
      <x:c r="K16" s="459" t="str">
        <x:f t="shared" si="32"/>
        <x:v/>
      </x:c>
      <x:c r="L16" s="459" t="str">
        <x:f t="shared" si="33"/>
        <x:v/>
      </x:c>
      <x:c r="M16" s="461" t="str">
        <x:f t="shared" si="19"/>
        <x:v/>
      </x:c>
      <x:c r="N16" s="460"/>
      <x:c r="O16" s="461">
        <x:f t="shared" si="20"/>
        <x:v>0</x:v>
      </x:c>
      <x:c r="P16" s="462"/>
      <x:c r="Q16" s="463">
        <x:f t="shared" si="21"/>
        <x:v>0</x:v>
      </x:c>
      <x:c r="R16" s="162" t="str">
        <x:f t="shared" si="22"/>
        <x:v>X</x:v>
      </x:c>
      <x:c r="S16" s="230"/>
      <x:c r="T16" s="229"/>
      <x:c r="U16" s="231"/>
      <x:c r="V16" s="232"/>
      <x:c r="W16" s="231"/>
      <x:c r="X16" s="162" t="str">
        <x:f t="shared" si="23"/>
        <x:v/>
      </x:c>
      <x:c r="Y16" s="227"/>
      <x:c r="Z16" s="494" t="str">
        <x:f t="shared" si="24"/>
        <x:v/>
      </x:c>
      <x:c r="AA16" s="494" t="str">
        <x:f t="shared" si="25"/>
        <x:v/>
      </x:c>
      <x:c r="AC16" s="494" t="str">
        <x:f t="shared" si="26"/>
        <x:v/>
      </x:c>
      <x:c r="AD16" s="494" t="str">
        <x:f t="shared" si="27"/>
        <x:v/>
      </x:c>
      <x:c r="AF16" s="374" t="str">
        <x:f>IF(AI16="","",IF($X16="도비","-",CONCATENATE(AI16,"-",COUNTIF($AI$7:AI16,AI16))))</x:f>
        <x:v/>
      </x:c>
      <x:c r="AG16" s="374" t="str">
        <x:f t="shared" si="28"/>
        <x:v/>
      </x:c>
      <x:c r="AI16" s="374" t="str">
        <x:f t="array" ref="AI16:AI16">IF(OR(D16="",B16="직접입력",C16="직접입력"),"",INDEX(구분표!$I$2:$I$336,MATCH(1,(구분표!$G$2:$G$336='4. 특입'!B16)*(구분표!$E$2:$E$336='4. 특입'!C16)*(구분표!$F$2:$F$336='4. 특입'!D16),0)))</x:f>
        <x:v/>
      </x:c>
      <x:c r="AJ16" s="228"/>
      <x:c r="AK16" s="472" t="str">
        <x:f>IF($AF16="","",IF($AF16="-",0,SUMIFS('4. 특출'!$AB$6:$AB$2000,'4. 특출'!$AJ$6:$AJ$2000,$AF16)))</x:f>
        <x:v/>
      </x:c>
      <x:c r="AL16" s="377" t="str">
        <x:f>IF($AF16="","",IF($AF16="-",0,COUNTIF('4. 특출'!$AJ$6:$AJ$2000,$AF16)))</x:f>
        <x:v/>
      </x:c>
      <x:c r="AM16" s="374" t="str">
        <x:f t="shared" si="29"/>
        <x:v/>
      </x:c>
      <x:c r="AN16" s="228"/>
      <x:c r="AO16" s="472" t="str">
        <x:f>IF($AF16="","",IF($AF16="-",0,SUMIFS('4. 특출'!$AF$6:$AF$2000,'4. 특출'!$AJ$6:$AJ$2000,$AF16)))</x:f>
        <x:v/>
      </x:c>
      <x:c r="AP16" s="377" t="str">
        <x:f>IF($AF16="","",IF($AF16="-",0,COUNTIF('4. 특출'!$AJ$6:$AJ$2000,$AF16)))</x:f>
        <x:v/>
      </x:c>
      <x:c r="AQ16" s="374" t="str">
        <x:f t="shared" si="30"/>
        <x:v/>
      </x:c>
    </x:row>
    <x:row r="17" spans="1:43" ht="69.950000000000003" customHeight="1">
      <x:c r="A17" s="171"/>
      <x:c r="B17" s="888" t="s">
        <x:v>1489</x:v>
      </x:c>
      <x:c r="C17" s="888"/>
      <x:c r="D17" s="888"/>
      <x:c r="E17" s="888"/>
      <x:c r="F17" s="888"/>
      <x:c r="G17" s="888"/>
      <x:c r="H17" s="172"/>
      <x:c r="I17" s="172"/>
      <x:c r="J17" s="349" t="str">
        <x:f>SUBTOTAL(3,J18:J21)&amp;"건"</x:f>
        <x:v>0건</x:v>
      </x:c>
      <x:c r="K17" s="458">
        <x:f t="shared" ref="K17:Q17" si="34">SUBTOTAL(9,K18:K21)</x:f>
        <x:v>0</x:v>
      </x:c>
      <x:c r="L17" s="458">
        <x:f t="shared" si="34"/>
        <x:v>0</x:v>
      </x:c>
      <x:c r="M17" s="458">
        <x:f t="shared" si="34"/>
        <x:v>0</x:v>
      </x:c>
      <x:c r="N17" s="458">
        <x:f t="shared" si="34"/>
        <x:v>0</x:v>
      </x:c>
      <x:c r="O17" s="458">
        <x:f t="shared" si="34"/>
        <x:v>0</x:v>
      </x:c>
      <x:c r="P17" s="458">
        <x:f t="shared" si="34"/>
        <x:v>0</x:v>
      </x:c>
      <x:c r="Q17" s="458">
        <x:f t="shared" si="34"/>
        <x:v>0</x:v>
      </x:c>
      <x:c r="R17" s="171"/>
      <x:c r="S17" s="171"/>
      <x:c r="T17" s="171"/>
      <x:c r="U17" s="171"/>
      <x:c r="V17" s="171"/>
      <x:c r="W17" s="171"/>
      <x:c r="X17" s="173"/>
      <x:c r="Y17" s="43"/>
      <x:c r="Z17" s="458">
        <x:f>SUBTOTAL(9,Z18:Z21)</x:f>
        <x:v>0</x:v>
      </x:c>
      <x:c r="AA17" s="458">
        <x:f>SUBTOTAL(9,AA18:AA21)</x:f>
        <x:v>0</x:v>
      </x:c>
      <x:c r="AB17" s="44"/>
      <x:c r="AC17" s="458">
        <x:f>SUBTOTAL(9,AC18:AC21)</x:f>
        <x:v>0</x:v>
      </x:c>
      <x:c r="AD17" s="458">
        <x:f>SUBTOTAL(9,AD18:AD21)</x:f>
        <x:v>0</x:v>
      </x:c>
      <x:c r="AE17" s="44"/>
      <x:c r="AF17" s="171"/>
      <x:c r="AG17" s="173"/>
      <x:c r="AH17" s="44"/>
      <x:c r="AI17" s="173"/>
      <x:c r="AJ17" s="44"/>
      <x:c r="AK17" s="458">
        <x:f>SUBTOTAL(9,AK18:AK21)</x:f>
        <x:v>0</x:v>
      </x:c>
      <x:c r="AL17" s="458">
        <x:f>SUBTOTAL(9,AL18:AL21)</x:f>
        <x:v>0</x:v>
      </x:c>
      <x:c r="AM17" s="555" t="str">
        <x:f>IF(COUNTIF(AM18:AM21,"@@")&gt;0,"@@","OK")</x:f>
        <x:v>OK</x:v>
      </x:c>
      <x:c r="AN17" s="44"/>
      <x:c r="AO17" s="458">
        <x:f>SUBTOTAL(9,AO18:AO21)</x:f>
        <x:v>0</x:v>
      </x:c>
      <x:c r="AP17" s="458">
        <x:f>SUBTOTAL(9,AP18:AP21)</x:f>
        <x:v>0</x:v>
      </x:c>
      <x:c r="AQ17" s="555" t="str">
        <x:f>IF(COUNTIF(AQ18:AQ21,"@@")&gt;0,"@@","OK")</x:f>
        <x:v>OK</x:v>
      </x:c>
    </x:row>
    <x:row r="18" spans="1:43" s="165" customFormat="1" ht="69.950000000000003" customHeight="1">
      <x:c r="A18" s="155" t="str">
        <x:f>IF(D18="","",COUNTA($C$7:C18)-COUNTBLANK($C$7:C18)+3)</x:f>
        <x:v/>
      </x:c>
      <x:c r="B18" s="156" t="str">
        <x: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x:f>
        <x:v/>
      </x:c>
      <x:c r="C18" s="156" t="str">
        <x:f>IF(D18="","",IF(OR(D18="교육지원과"),"소방재난본부",VLOOKUP(D18,구분표!$A$3:$C$258,3,)))</x:f>
        <x:v/>
      </x:c>
      <x:c r="D18" s="226"/>
      <x:c r="E18" s="213"/>
      <x:c r="F18" s="388" t="str">
        <x:f>IF($E18="","",IF($E18="2추","직접입력","-"))</x:f>
        <x:v/>
      </x:c>
      <x:c r="G18" s="388" t="str">
        <x:f>IF($E18="","",IF($E18="2추","직접입력","-"))</x:f>
        <x:v/>
      </x:c>
      <x:c r="H18" s="214"/>
      <x:c r="I18" s="156" t="str">
        <x:f>IF(H18="","",VLOOKUP($H18,구분표!$O$3:$P$168,2,FALSE))</x:f>
        <x:v/>
      </x:c>
      <x:c r="J18" s="215"/>
      <x:c r="K18" s="459" t="str">
        <x:f>IF($E18="","",IF(OR($E18="2추",$E18="1추",$E18="본예산"),"금액입력","-"))</x:f>
        <x:v/>
      </x:c>
      <x:c r="L18" s="459" t="str">
        <x:f>IF($E18="","",IF($E18="2추","금액입력","-"))</x:f>
        <x:v/>
      </x:c>
      <x:c r="M18" s="461" t="str">
        <x:f t="shared" ref="M18:M21" si="35">IF($E18="","",SUM(K18:L18))</x:f>
        <x:v/>
      </x:c>
      <x:c r="N18" s="460"/>
      <x:c r="O18" s="461">
        <x:f t="shared" ref="O18:O21" si="36">SUM(M18:N18)</x:f>
        <x:v>0</x:v>
      </x:c>
      <x:c r="P18" s="462"/>
      <x:c r="Q18" s="463">
        <x:f t="shared" ref="Q18:Q21" si="37">SUM(M18,P18)</x:f>
        <x:v>0</x:v>
      </x:c>
      <x:c r="R18" s="162" t="str">
        <x:f t="shared" ref="R18:R21" si="38">IF(AND((O18=0),(Q18&gt;0)),"O",IF(AND((N18&lt;0),(O18-Q18&lt;0)),"O","X"))</x:f>
        <x:v>X</x:v>
      </x:c>
      <x:c r="S18" s="230"/>
      <x:c r="T18" s="229"/>
      <x:c r="U18" s="231"/>
      <x:c r="V18" s="232"/>
      <x:c r="W18" s="231"/>
      <x:c r="X18" s="162" t="str">
        <x:f t="shared" ref="X18:X21" si="39">IF($H18="","",IF(OR($H18="511-01",$H18="511-02",$H18="511-03",$H18="311-02",$H18="311-04",$H18="321-01"),"국비","도비"))</x:f>
        <x:v/>
      </x:c>
      <x:c r="Y18" s="227"/>
      <x:c r="Z18" s="494" t="str">
        <x:f t="shared" ref="Z18:Z21" si="40">IF($X18="","",IF($X18="국비",$N18,0))</x:f>
        <x:v/>
      </x:c>
      <x:c r="AA18" s="494" t="str">
        <x:f t="shared" ref="AA18:AA21" si="41">IF($X18="","",IF($X18="도비",$N18,0))</x:f>
        <x:v/>
      </x:c>
      <x:c r="AC18" s="494" t="str">
        <x:f t="shared" ref="AC18:AC21" si="42">IF($X18="","",IF($X18="국비",$P18,0))</x:f>
        <x:v/>
      </x:c>
      <x:c r="AD18" s="494" t="str">
        <x:f t="shared" ref="AD18:AD21" si="43">IF($X18="","",IF($X18="도비",$P18,0))</x:f>
        <x:v/>
      </x:c>
      <x:c r="AF18" s="374" t="str">
        <x:f>IF(AI18="","",IF($X18="도비","-",CONCATENATE(AI18,"-",COUNTIF($AI$7:AI18,AI18))))</x:f>
        <x:v/>
      </x:c>
      <x:c r="AG18" s="374" t="str">
        <x:f t="shared" ref="AG18:AG21" si="44">IF($H18="","",IF($H18="511-01","국비",IF($H18="511-02","균특",IF($H18="511-03","기금",IF($H18="311-02","특교",IF($H18="311-04","소교",IF($H18="321-01","소멸","도비")))))))</x:f>
        <x:v/>
      </x:c>
      <x:c r="AI18" s="374" t="str">
        <x:f t="array" ref="AI18:AI18">IF(OR(D18="",B18="직접입력",C18="직접입력"),"",INDEX(구분표!$I$2:$I$336,MATCH(1,(구분표!$G$2:$G$336='4. 특입'!B18)*(구분표!$E$2:$E$336='4. 특입'!C18)*(구분표!$F$2:$F$336='4. 특입'!D18),0)))</x:f>
        <x:v/>
      </x:c>
      <x:c r="AJ18" s="228"/>
      <x:c r="AK18" s="472" t="str">
        <x:f>IF($AF18="","",IF($AF18="-",0,SUMIFS('4. 특출'!$AB$6:$AB$2000,'4. 특출'!$AJ$6:$AJ$2000,$AF18)))</x:f>
        <x:v/>
      </x:c>
      <x:c r="AL18" s="377" t="str">
        <x:f>IF($AF18="","",IF($AF18="-",0,COUNTIF('4. 특출'!$AJ$6:$AJ$2000,$AF18)))</x:f>
        <x:v/>
      </x:c>
      <x:c r="AM18" s="374" t="str">
        <x:f t="shared" ref="AM18:AM21" si="45">IF($AF18="","",IF($Z18=$AK18,"OK","@@"))</x:f>
        <x:v/>
      </x:c>
      <x:c r="AN18" s="228"/>
      <x:c r="AO18" s="472" t="str">
        <x:f>IF($AF18="","",IF($AF18="-",0,SUMIFS('4. 특출'!$AF$6:$AF$2000,'4. 특출'!$AJ$6:$AJ$2000,$AF18)))</x:f>
        <x:v/>
      </x:c>
      <x:c r="AP18" s="377" t="str">
        <x:f>IF($AF18="","",IF($AF18="-",0,COUNTIF('4. 특출'!$AJ$6:$AJ$2000,$AF18)))</x:f>
        <x:v/>
      </x:c>
      <x:c r="AQ18" s="374" t="str">
        <x:f t="shared" ref="AQ18:AQ21" si="46">IF($AF18="","",IF($AC18=$AO18,"OK","@@"))</x:f>
        <x:v/>
      </x:c>
    </x:row>
    <x:row r="19" spans="1:43" s="165" customFormat="1" ht="69.950000000000003" customHeight="1">
      <x:c r="A19" s="155" t="str">
        <x:f>IF(D19="","",COUNTA($C$7:C19)-COUNTBLANK($C$7:C19)+3)</x:f>
        <x:v/>
      </x:c>
      <x:c r="B19" s="156" t="str">
        <x: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x:f>
        <x:v/>
      </x:c>
      <x:c r="C19" s="156" t="str">
        <x:f>IF(D19="","",IF(OR(D19="교육지원과"),"소방재난본부",VLOOKUP(D19,구분표!$A$3:$C$258,3,)))</x:f>
        <x:v/>
      </x:c>
      <x:c r="D19" s="226"/>
      <x:c r="E19" s="213"/>
      <x:c r="F19" s="388" t="str">
        <x:f t="shared" ref="F19:G21" si="47">IF($E19="","",IF($E19="2추","직접입력","-"))</x:f>
        <x:v/>
      </x:c>
      <x:c r="G19" s="388" t="str">
        <x:f t="shared" si="47"/>
        <x:v/>
      </x:c>
      <x:c r="H19" s="214"/>
      <x:c r="I19" s="156" t="str">
        <x:f>IF(H19="","",VLOOKUP($H19,구분표!$O$3:$P$168,2,FALSE))</x:f>
        <x:v/>
      </x:c>
      <x:c r="J19" s="215"/>
      <x:c r="K19" s="459" t="str">
        <x:f t="shared" ref="K19:K21" si="48">IF($E19="","",IF(OR($E19="2추",$E19="1추",$E19="본예산"),"금액입력","-"))</x:f>
        <x:v/>
      </x:c>
      <x:c r="L19" s="459" t="str">
        <x:f t="shared" ref="L19:L21" si="49">IF($E19="","",IF($E19="2추","금액입력","-"))</x:f>
        <x:v/>
      </x:c>
      <x:c r="M19" s="461" t="str">
        <x:f t="shared" si="35"/>
        <x:v/>
      </x:c>
      <x:c r="N19" s="460"/>
      <x:c r="O19" s="461">
        <x:f t="shared" si="36"/>
        <x:v>0</x:v>
      </x:c>
      <x:c r="P19" s="462"/>
      <x:c r="Q19" s="463">
        <x:f t="shared" si="37"/>
        <x:v>0</x:v>
      </x:c>
      <x:c r="R19" s="162" t="str">
        <x:f t="shared" si="38"/>
        <x:v>X</x:v>
      </x:c>
      <x:c r="S19" s="230"/>
      <x:c r="T19" s="229"/>
      <x:c r="U19" s="231"/>
      <x:c r="V19" s="232"/>
      <x:c r="W19" s="231"/>
      <x:c r="X19" s="162" t="str">
        <x:f t="shared" si="39"/>
        <x:v/>
      </x:c>
      <x:c r="Y19" s="227"/>
      <x:c r="Z19" s="494" t="str">
        <x:f t="shared" si="40"/>
        <x:v/>
      </x:c>
      <x:c r="AA19" s="494" t="str">
        <x:f t="shared" si="41"/>
        <x:v/>
      </x:c>
      <x:c r="AC19" s="494" t="str">
        <x:f t="shared" si="42"/>
        <x:v/>
      </x:c>
      <x:c r="AD19" s="494" t="str">
        <x:f t="shared" si="43"/>
        <x:v/>
      </x:c>
      <x:c r="AF19" s="374" t="str">
        <x:f>IF(AI19="","",IF($X19="도비","-",CONCATENATE(AI19,"-",COUNTIF($AI$7:AI19,AI19))))</x:f>
        <x:v/>
      </x:c>
      <x:c r="AG19" s="374" t="str">
        <x:f t="shared" si="44"/>
        <x:v/>
      </x:c>
      <x:c r="AI19" s="374" t="str">
        <x:f t="array" ref="AI19:AI19">IF(OR(D19="",B19="직접입력",C19="직접입력"),"",INDEX(구분표!$I$2:$I$336,MATCH(1,(구분표!$G$2:$G$336='4. 특입'!B19)*(구분표!$E$2:$E$336='4. 특입'!C19)*(구분표!$F$2:$F$336='4. 특입'!D19),0)))</x:f>
        <x:v/>
      </x:c>
      <x:c r="AJ19" s="228"/>
      <x:c r="AK19" s="472" t="str">
        <x:f>IF($AF19="","",IF($AF19="-",0,SUMIFS('4. 특출'!$AB$6:$AB$2000,'4. 특출'!$AJ$6:$AJ$2000,$AF19)))</x:f>
        <x:v/>
      </x:c>
      <x:c r="AL19" s="377" t="str">
        <x:f>IF($AF19="","",IF($AF19="-",0,COUNTIF('4. 특출'!$AJ$6:$AJ$2000,$AF19)))</x:f>
        <x:v/>
      </x:c>
      <x:c r="AM19" s="374" t="str">
        <x:f t="shared" si="45"/>
        <x:v/>
      </x:c>
      <x:c r="AN19" s="228"/>
      <x:c r="AO19" s="472" t="str">
        <x:f>IF($AF19="","",IF($AF19="-",0,SUMIFS('4. 특출'!$AF$6:$AF$2000,'4. 특출'!$AJ$6:$AJ$2000,$AF19)))</x:f>
        <x:v/>
      </x:c>
      <x:c r="AP19" s="377" t="str">
        <x:f>IF($AF19="","",IF($AF19="-",0,COUNTIF('4. 특출'!$AJ$6:$AJ$2000,$AF19)))</x:f>
        <x:v/>
      </x:c>
      <x:c r="AQ19" s="374" t="str">
        <x:f t="shared" si="46"/>
        <x:v/>
      </x:c>
    </x:row>
    <x:row r="20" spans="1:43" s="165" customFormat="1" ht="69.950000000000003" customHeight="1">
      <x:c r="A20" s="155" t="str">
        <x:f>IF(D20="","",COUNTA($C$7:C20)-COUNTBLANK($C$7:C20)+3)</x:f>
        <x:v/>
      </x:c>
      <x:c r="B20" s="156" t="str">
        <x: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x:f>
        <x:v/>
      </x:c>
      <x:c r="C20" s="156" t="str">
        <x:f>IF(D20="","",IF(OR(D20="교육지원과"),"소방재난본부",VLOOKUP(D20,구분표!$A$3:$C$258,3,)))</x:f>
        <x:v/>
      </x:c>
      <x:c r="D20" s="226"/>
      <x:c r="E20" s="213"/>
      <x:c r="F20" s="388" t="str">
        <x:f t="shared" si="47"/>
        <x:v/>
      </x:c>
      <x:c r="G20" s="388" t="str">
        <x:f t="shared" si="47"/>
        <x:v/>
      </x:c>
      <x:c r="H20" s="214"/>
      <x:c r="I20" s="156" t="str">
        <x:f>IF(H20="","",VLOOKUP($H20,구분표!$O$3:$P$168,2,FALSE))</x:f>
        <x:v/>
      </x:c>
      <x:c r="J20" s="215"/>
      <x:c r="K20" s="459" t="str">
        <x:f t="shared" si="48"/>
        <x:v/>
      </x:c>
      <x:c r="L20" s="459" t="str">
        <x:f t="shared" si="49"/>
        <x:v/>
      </x:c>
      <x:c r="M20" s="461" t="str">
        <x:f t="shared" si="35"/>
        <x:v/>
      </x:c>
      <x:c r="N20" s="460"/>
      <x:c r="O20" s="461">
        <x:f t="shared" si="36"/>
        <x:v>0</x:v>
      </x:c>
      <x:c r="P20" s="462"/>
      <x:c r="Q20" s="463">
        <x:f t="shared" si="37"/>
        <x:v>0</x:v>
      </x:c>
      <x:c r="R20" s="162" t="str">
        <x:f t="shared" si="38"/>
        <x:v>X</x:v>
      </x:c>
      <x:c r="S20" s="230"/>
      <x:c r="T20" s="229"/>
      <x:c r="U20" s="231"/>
      <x:c r="V20" s="232"/>
      <x:c r="W20" s="231"/>
      <x:c r="X20" s="162" t="str">
        <x:f t="shared" si="39"/>
        <x:v/>
      </x:c>
      <x:c r="Y20" s="227"/>
      <x:c r="Z20" s="494" t="str">
        <x:f t="shared" si="40"/>
        <x:v/>
      </x:c>
      <x:c r="AA20" s="494" t="str">
        <x:f t="shared" si="41"/>
        <x:v/>
      </x:c>
      <x:c r="AC20" s="494" t="str">
        <x:f t="shared" si="42"/>
        <x:v/>
      </x:c>
      <x:c r="AD20" s="494" t="str">
        <x:f t="shared" si="43"/>
        <x:v/>
      </x:c>
      <x:c r="AF20" s="374" t="str">
        <x:f>IF(AI20="","",IF($X20="도비","-",CONCATENATE(AI20,"-",COUNTIF($AI$7:AI20,AI20))))</x:f>
        <x:v/>
      </x:c>
      <x:c r="AG20" s="374" t="str">
        <x:f t="shared" si="44"/>
        <x:v/>
      </x:c>
      <x:c r="AI20" s="374" t="str">
        <x:f t="array" ref="AI20:AI20">IF(OR(D20="",B20="직접입력",C20="직접입력"),"",INDEX(구분표!$I$2:$I$336,MATCH(1,(구분표!$G$2:$G$336='4. 특입'!B20)*(구분표!$E$2:$E$336='4. 특입'!C20)*(구분표!$F$2:$F$336='4. 특입'!D20),0)))</x:f>
        <x:v/>
      </x:c>
      <x:c r="AJ20" s="228"/>
      <x:c r="AK20" s="472" t="str">
        <x:f>IF($AF20="","",IF($AF20="-",0,SUMIFS('4. 특출'!$AB$6:$AB$2000,'4. 특출'!$AJ$6:$AJ$2000,$AF20)))</x:f>
        <x:v/>
      </x:c>
      <x:c r="AL20" s="377" t="str">
        <x:f>IF($AF20="","",IF($AF20="-",0,COUNTIF('4. 특출'!$AJ$6:$AJ$2000,$AF20)))</x:f>
        <x:v/>
      </x:c>
      <x:c r="AM20" s="374" t="str">
        <x:f t="shared" si="45"/>
        <x:v/>
      </x:c>
      <x:c r="AN20" s="228"/>
      <x:c r="AO20" s="472" t="str">
        <x:f>IF($AF20="","",IF($AF20="-",0,SUMIFS('4. 특출'!$AF$6:$AF$2000,'4. 특출'!$AJ$6:$AJ$2000,$AF20)))</x:f>
        <x:v/>
      </x:c>
      <x:c r="AP20" s="377" t="str">
        <x:f>IF($AF20="","",IF($AF20="-",0,COUNTIF('4. 특출'!$AJ$6:$AJ$2000,$AF20)))</x:f>
        <x:v/>
      </x:c>
      <x:c r="AQ20" s="374" t="str">
        <x:f t="shared" si="46"/>
        <x:v/>
      </x:c>
    </x:row>
    <x:row r="21" spans="1:43" s="165" customFormat="1" ht="69.950000000000003" customHeight="1">
      <x:c r="A21" s="155" t="str">
        <x:f>IF(D21="","",COUNTA($C$7:C21)-COUNTBLANK($C$7:C21)+3)</x:f>
        <x:v/>
      </x:c>
      <x:c r="B21" s="156" t="str">
        <x: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x:f>
        <x:v/>
      </x:c>
      <x:c r="C21" s="156" t="str">
        <x:f>IF(D21="","",IF(OR(D21="교육지원과"),"소방재난본부",VLOOKUP(D21,구분표!$A$3:$C$258,3,)))</x:f>
        <x:v/>
      </x:c>
      <x:c r="D21" s="226"/>
      <x:c r="E21" s="213"/>
      <x:c r="F21" s="388" t="str">
        <x:f t="shared" si="47"/>
        <x:v/>
      </x:c>
      <x:c r="G21" s="388" t="str">
        <x:f t="shared" si="47"/>
        <x:v/>
      </x:c>
      <x:c r="H21" s="214"/>
      <x:c r="I21" s="156" t="str">
        <x:f>IF(H21="","",VLOOKUP($H21,구분표!$O$3:$P$168,2,FALSE))</x:f>
        <x:v/>
      </x:c>
      <x:c r="J21" s="215"/>
      <x:c r="K21" s="459" t="str">
        <x:f t="shared" si="48"/>
        <x:v/>
      </x:c>
      <x:c r="L21" s="459" t="str">
        <x:f t="shared" si="49"/>
        <x:v/>
      </x:c>
      <x:c r="M21" s="461" t="str">
        <x:f t="shared" si="35"/>
        <x:v/>
      </x:c>
      <x:c r="N21" s="460"/>
      <x:c r="O21" s="461">
        <x:f t="shared" si="36"/>
        <x:v>0</x:v>
      </x:c>
      <x:c r="P21" s="462"/>
      <x:c r="Q21" s="463">
        <x:f t="shared" si="37"/>
        <x:v>0</x:v>
      </x:c>
      <x:c r="R21" s="162" t="str">
        <x:f t="shared" si="38"/>
        <x:v>X</x:v>
      </x:c>
      <x:c r="S21" s="230"/>
      <x:c r="T21" s="229"/>
      <x:c r="U21" s="231"/>
      <x:c r="V21" s="232"/>
      <x:c r="W21" s="231"/>
      <x:c r="X21" s="162" t="str">
        <x:f t="shared" si="39"/>
        <x:v/>
      </x:c>
      <x:c r="Y21" s="227"/>
      <x:c r="Z21" s="494" t="str">
        <x:f t="shared" si="40"/>
        <x:v/>
      </x:c>
      <x:c r="AA21" s="494" t="str">
        <x:f t="shared" si="41"/>
        <x:v/>
      </x:c>
      <x:c r="AC21" s="494" t="str">
        <x:f t="shared" si="42"/>
        <x:v/>
      </x:c>
      <x:c r="AD21" s="494" t="str">
        <x:f t="shared" si="43"/>
        <x:v/>
      </x:c>
      <x:c r="AF21" s="374" t="str">
        <x:f>IF(AI21="","",IF($X21="도비","-",CONCATENATE(AI21,"-",COUNTIF($AI$7:AI21,AI21))))</x:f>
        <x:v/>
      </x:c>
      <x:c r="AG21" s="374" t="str">
        <x:f t="shared" si="44"/>
        <x:v/>
      </x:c>
      <x:c r="AI21" s="374" t="str">
        <x:f t="array" ref="AI21:AI21">IF(OR(D21="",B21="직접입력",C21="직접입력"),"",INDEX(구분표!$I$2:$I$336,MATCH(1,(구분표!$G$2:$G$336='4. 특입'!B21)*(구분표!$E$2:$E$336='4. 특입'!C21)*(구분표!$F$2:$F$336='4. 특입'!D21),0)))</x:f>
        <x:v/>
      </x:c>
      <x:c r="AJ21" s="228"/>
      <x:c r="AK21" s="472" t="str">
        <x:f>IF($AF21="","",IF($AF21="-",0,SUMIFS('4. 특출'!$AB$6:$AB$2000,'4. 특출'!$AJ$6:$AJ$2000,$AF21)))</x:f>
        <x:v/>
      </x:c>
      <x:c r="AL21" s="377" t="str">
        <x:f>IF($AF21="","",IF($AF21="-",0,COUNTIF('4. 특출'!$AJ$6:$AJ$2000,$AF21)))</x:f>
        <x:v/>
      </x:c>
      <x:c r="AM21" s="374" t="str">
        <x:f t="shared" si="45"/>
        <x:v/>
      </x:c>
      <x:c r="AN21" s="228"/>
      <x:c r="AO21" s="472" t="str">
        <x:f>IF($AF21="","",IF($AF21="-",0,SUMIFS('4. 특출'!$AF$6:$AF$2000,'4. 특출'!$AJ$6:$AJ$2000,$AF21)))</x:f>
        <x:v/>
      </x:c>
      <x:c r="AP21" s="377" t="str">
        <x:f>IF($AF21="","",IF($AF21="-",0,COUNTIF('4. 특출'!$AJ$6:$AJ$2000,$AF21)))</x:f>
        <x:v/>
      </x:c>
      <x:c r="AQ21" s="374" t="str">
        <x:f t="shared" si="46"/>
        <x:v/>
      </x:c>
    </x:row>
    <x:row r="22" spans="1:43" ht="69.950000000000003" customHeight="1">
      <x:c r="A22" s="171"/>
      <x:c r="B22" s="888" t="s">
        <x:v>1493</x:v>
      </x:c>
      <x:c r="C22" s="888"/>
      <x:c r="D22" s="888"/>
      <x:c r="E22" s="888"/>
      <x:c r="F22" s="888"/>
      <x:c r="G22" s="888"/>
      <x:c r="H22" s="172"/>
      <x:c r="I22" s="172"/>
      <x:c r="J22" s="349" t="str">
        <x:f>SUBTOTAL(3,J23:J26)&amp;"건"</x:f>
        <x:v>0건</x:v>
      </x:c>
      <x:c r="K22" s="458">
        <x:f t="shared" ref="K22:Q22" si="50">SUBTOTAL(9,K23:K26)</x:f>
        <x:v>0</x:v>
      </x:c>
      <x:c r="L22" s="458">
        <x:f t="shared" si="50"/>
        <x:v>0</x:v>
      </x:c>
      <x:c r="M22" s="458">
        <x:f t="shared" si="50"/>
        <x:v>0</x:v>
      </x:c>
      <x:c r="N22" s="458">
        <x:f t="shared" si="50"/>
        <x:v>0</x:v>
      </x:c>
      <x:c r="O22" s="458">
        <x:f t="shared" si="50"/>
        <x:v>0</x:v>
      </x:c>
      <x:c r="P22" s="458">
        <x:f t="shared" si="50"/>
        <x:v>0</x:v>
      </x:c>
      <x:c r="Q22" s="458">
        <x:f t="shared" si="50"/>
        <x:v>0</x:v>
      </x:c>
      <x:c r="R22" s="171"/>
      <x:c r="S22" s="171"/>
      <x:c r="T22" s="171"/>
      <x:c r="U22" s="171"/>
      <x:c r="V22" s="171"/>
      <x:c r="W22" s="171"/>
      <x:c r="X22" s="173"/>
      <x:c r="Y22" s="43"/>
      <x:c r="Z22" s="458">
        <x:f>SUBTOTAL(9,Z23:Z26)</x:f>
        <x:v>0</x:v>
      </x:c>
      <x:c r="AA22" s="458">
        <x:f>SUBTOTAL(9,AA23:AA26)</x:f>
        <x:v>0</x:v>
      </x:c>
      <x:c r="AB22" s="44"/>
      <x:c r="AC22" s="458">
        <x:f>SUBTOTAL(9,AC23:AC26)</x:f>
        <x:v>0</x:v>
      </x:c>
      <x:c r="AD22" s="458">
        <x:f>SUBTOTAL(9,AD23:AD26)</x:f>
        <x:v>0</x:v>
      </x:c>
      <x:c r="AE22" s="44"/>
      <x:c r="AF22" s="171"/>
      <x:c r="AG22" s="173"/>
      <x:c r="AH22" s="44"/>
      <x:c r="AI22" s="173"/>
      <x:c r="AJ22" s="44"/>
      <x:c r="AK22" s="458">
        <x:f>SUBTOTAL(9,AK23:AK26)</x:f>
        <x:v>0</x:v>
      </x:c>
      <x:c r="AL22" s="458">
        <x:f>SUBTOTAL(9,AL23:AL26)</x:f>
        <x:v>0</x:v>
      </x:c>
      <x:c r="AM22" s="555" t="str">
        <x:f>IF(COUNTIF(AM23:AM26,"@@")&gt;0,"@@","OK")</x:f>
        <x:v>OK</x:v>
      </x:c>
      <x:c r="AN22" s="44"/>
      <x:c r="AO22" s="458">
        <x:f>SUBTOTAL(9,AO23:AO26)</x:f>
        <x:v>0</x:v>
      </x:c>
      <x:c r="AP22" s="458">
        <x:f>SUBTOTAL(9,AP23:AP26)</x:f>
        <x:v>0</x:v>
      </x:c>
      <x:c r="AQ22" s="555" t="str">
        <x:f>IF(COUNTIF(AQ23:AQ26,"@@")&gt;0,"@@","OK")</x:f>
        <x:v>OK</x:v>
      </x:c>
    </x:row>
    <x:row r="23" spans="1:43" s="165" customFormat="1" ht="69.950000000000003" customHeight="1">
      <x:c r="A23" s="155" t="str">
        <x:f>IF(D23="","",COUNTA($C$7:C23)-COUNTBLANK($C$7:C23)+4)</x:f>
        <x:v/>
      </x:c>
      <x:c r="B23" s="156" t="str">
        <x: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x:f>
        <x:v/>
      </x:c>
      <x:c r="C23" s="156" t="str">
        <x:f>IF(D23="","",IF(OR(D23="교육지원과"),"소방재난본부",VLOOKUP(D23,구분표!$A$3:$C$258,3,)))</x:f>
        <x:v/>
      </x:c>
      <x:c r="D23" s="226"/>
      <x:c r="E23" s="213"/>
      <x:c r="F23" s="388" t="str">
        <x:f>IF($E23="","",IF($E23="2추","직접입력","-"))</x:f>
        <x:v/>
      </x:c>
      <x:c r="G23" s="388" t="str">
        <x:f>IF($E23="","",IF($E23="2추","직접입력","-"))</x:f>
        <x:v/>
      </x:c>
      <x:c r="H23" s="214"/>
      <x:c r="I23" s="156" t="str">
        <x:f>IF(H23="","",VLOOKUP($H23,구분표!$O$3:$P$168,2,FALSE))</x:f>
        <x:v/>
      </x:c>
      <x:c r="J23" s="215"/>
      <x:c r="K23" s="459" t="str">
        <x:f>IF($E23="","",IF(OR($E23="2추",$E23="1추",$E23="본예산"),"금액입력","-"))</x:f>
        <x:v/>
      </x:c>
      <x:c r="L23" s="459" t="str">
        <x:f>IF($E23="","",IF($E23="2추","금액입력","-"))</x:f>
        <x:v/>
      </x:c>
      <x:c r="M23" s="461" t="str">
        <x:f t="shared" ref="M23:M26" si="51">IF($E23="","",SUM(K23:L23))</x:f>
        <x:v/>
      </x:c>
      <x:c r="N23" s="460"/>
      <x:c r="O23" s="461">
        <x:f t="shared" ref="O23:O26" si="52">SUM(M23:N23)</x:f>
        <x:v>0</x:v>
      </x:c>
      <x:c r="P23" s="462"/>
      <x:c r="Q23" s="463">
        <x:f t="shared" ref="Q23:Q26" si="53">SUM(M23,P23)</x:f>
        <x:v>0</x:v>
      </x:c>
      <x:c r="R23" s="162" t="str">
        <x:f t="shared" ref="R23:R26" si="54">IF(AND((O23=0),(Q23&gt;0)),"O",IF(AND((N23&lt;0),(O23-Q23&lt;0)),"O","X"))</x:f>
        <x:v>X</x:v>
      </x:c>
      <x:c r="S23" s="230"/>
      <x:c r="T23" s="229"/>
      <x:c r="U23" s="231"/>
      <x:c r="V23" s="232"/>
      <x:c r="W23" s="231"/>
      <x:c r="X23" s="162" t="str">
        <x:f t="shared" ref="X23:X26" si="55">IF($H23="","",IF(OR($H23="511-01",$H23="511-02",$H23="511-03",$H23="311-02",$H23="311-04",$H23="321-01"),"국비","도비"))</x:f>
        <x:v/>
      </x:c>
      <x:c r="Y23" s="227"/>
      <x:c r="Z23" s="494" t="str">
        <x:f t="shared" ref="Z23:Z26" si="56">IF($X23="","",IF($X23="국비",$N23,0))</x:f>
        <x:v/>
      </x:c>
      <x:c r="AA23" s="494" t="str">
        <x:f t="shared" ref="AA23:AA26" si="57">IF($X23="","",IF($X23="도비",$N23,0))</x:f>
        <x:v/>
      </x:c>
      <x:c r="AC23" s="494" t="str">
        <x:f t="shared" ref="AC23:AC26" si="58">IF($X23="","",IF($X23="국비",$P23,0))</x:f>
        <x:v/>
      </x:c>
      <x:c r="AD23" s="494" t="str">
        <x:f t="shared" ref="AD23:AD26" si="59">IF($X23="","",IF($X23="도비",$P23,0))</x:f>
        <x:v/>
      </x:c>
      <x:c r="AF23" s="374" t="str">
        <x:f>IF(AI23="","",IF($X23="도비","-",CONCATENATE(AI23,"-",COUNTIF($AI$7:AI23,AI23))))</x:f>
        <x:v/>
      </x:c>
      <x:c r="AG23" s="374" t="str">
        <x:f t="shared" ref="AG23:AG26" si="60">IF($H23="","",IF($H23="511-01","국비",IF($H23="511-02","균특",IF($H23="511-03","기금",IF($H23="311-02","특교",IF($H23="311-04","소교",IF($H23="321-01","소멸","도비")))))))</x:f>
        <x:v/>
      </x:c>
      <x:c r="AI23" s="374" t="str">
        <x:f t="array" ref="AI23:AI23">IF(OR(D23="",B23="직접입력",C23="직접입력"),"",INDEX(구분표!$I$2:$I$336,MATCH(1,(구분표!$G$2:$G$336='4. 특입'!B23)*(구분표!$E$2:$E$336='4. 특입'!C23)*(구분표!$F$2:$F$336='4. 특입'!D23),0)))</x:f>
        <x:v/>
      </x:c>
      <x:c r="AJ23" s="228"/>
      <x:c r="AK23" s="472" t="str">
        <x:f>IF($AF23="","",IF($AF23="-",0,SUMIFS('4. 특출'!$AB$6:$AB$2000,'4. 특출'!$AJ$6:$AJ$2000,$AF23)))</x:f>
        <x:v/>
      </x:c>
      <x:c r="AL23" s="377" t="str">
        <x:f>IF($AF23="","",IF($AF23="-",0,COUNTIF('4. 특출'!$AJ$6:$AJ$2000,$AF23)))</x:f>
        <x:v/>
      </x:c>
      <x:c r="AM23" s="374" t="str">
        <x:f t="shared" ref="AM23:AM26" si="61">IF($AF23="","",IF($Z23=$AK23,"OK","@@"))</x:f>
        <x:v/>
      </x:c>
      <x:c r="AN23" s="228"/>
      <x:c r="AO23" s="472" t="str">
        <x:f>IF($AF23="","",IF($AF23="-",0,SUMIFS('4. 특출'!$AF$6:$AF$2000,'4. 특출'!$AJ$6:$AJ$2000,$AF23)))</x:f>
        <x:v/>
      </x:c>
      <x:c r="AP23" s="377" t="str">
        <x:f>IF($AF23="","",IF($AF23="-",0,COUNTIF('4. 특출'!$AJ$6:$AJ$2000,$AF23)))</x:f>
        <x:v/>
      </x:c>
      <x:c r="AQ23" s="374" t="str">
        <x:f t="shared" ref="AQ23:AQ26" si="62">IF($AF23="","",IF($AC23=$AO23,"OK","@@"))</x:f>
        <x:v/>
      </x:c>
    </x:row>
    <x:row r="24" spans="1:43" s="165" customFormat="1" ht="69.950000000000003" customHeight="1">
      <x:c r="A24" s="155" t="str">
        <x:f>IF(D24="","",COUNTA($C$7:C24)-COUNTBLANK($C$7:C24)+4)</x:f>
        <x:v/>
      </x:c>
      <x:c r="B24" s="156" t="str">
        <x: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x:f>
        <x:v/>
      </x:c>
      <x:c r="C24" s="156" t="str">
        <x:f>IF(D24="","",IF(OR(D24="교육지원과"),"소방재난본부",VLOOKUP(D24,구분표!$A$3:$C$258,3,)))</x:f>
        <x:v/>
      </x:c>
      <x:c r="D24" s="226"/>
      <x:c r="E24" s="213"/>
      <x:c r="F24" s="388" t="str">
        <x:f t="shared" ref="F24:G26" si="63">IF($E24="","",IF($E24="2추","직접입력","-"))</x:f>
        <x:v/>
      </x:c>
      <x:c r="G24" s="388" t="str">
        <x:f t="shared" si="63"/>
        <x:v/>
      </x:c>
      <x:c r="H24" s="214"/>
      <x:c r="I24" s="156" t="str">
        <x:f>IF(H24="","",VLOOKUP($H24,구분표!$O$3:$P$168,2,FALSE))</x:f>
        <x:v/>
      </x:c>
      <x:c r="J24" s="215"/>
      <x:c r="K24" s="459" t="str">
        <x:f t="shared" ref="K24:K26" si="64">IF($E24="","",IF(OR($E24="2추",$E24="1추",$E24="본예산"),"금액입력","-"))</x:f>
        <x:v/>
      </x:c>
      <x:c r="L24" s="459" t="str">
        <x:f t="shared" ref="L24:L26" si="65">IF($E24="","",IF($E24="2추","금액입력","-"))</x:f>
        <x:v/>
      </x:c>
      <x:c r="M24" s="461" t="str">
        <x:f t="shared" si="51"/>
        <x:v/>
      </x:c>
      <x:c r="N24" s="460"/>
      <x:c r="O24" s="461">
        <x:f t="shared" si="52"/>
        <x:v>0</x:v>
      </x:c>
      <x:c r="P24" s="462"/>
      <x:c r="Q24" s="463">
        <x:f t="shared" si="53"/>
        <x:v>0</x:v>
      </x:c>
      <x:c r="R24" s="162" t="str">
        <x:f t="shared" si="54"/>
        <x:v>X</x:v>
      </x:c>
      <x:c r="S24" s="230"/>
      <x:c r="T24" s="229"/>
      <x:c r="U24" s="231"/>
      <x:c r="V24" s="232"/>
      <x:c r="W24" s="231"/>
      <x:c r="X24" s="162" t="str">
        <x:f t="shared" si="55"/>
        <x:v/>
      </x:c>
      <x:c r="Y24" s="227"/>
      <x:c r="Z24" s="494" t="str">
        <x:f t="shared" si="56"/>
        <x:v/>
      </x:c>
      <x:c r="AA24" s="494" t="str">
        <x:f t="shared" si="57"/>
        <x:v/>
      </x:c>
      <x:c r="AC24" s="494" t="str">
        <x:f t="shared" si="58"/>
        <x:v/>
      </x:c>
      <x:c r="AD24" s="494" t="str">
        <x:f t="shared" si="59"/>
        <x:v/>
      </x:c>
      <x:c r="AF24" s="374" t="str">
        <x:f>IF(AI24="","",IF($X24="도비","-",CONCATENATE(AI24,"-",COUNTIF($AI$7:AI24,AI24))))</x:f>
        <x:v/>
      </x:c>
      <x:c r="AG24" s="374" t="str">
        <x:f t="shared" si="60"/>
        <x:v/>
      </x:c>
      <x:c r="AI24" s="374" t="str">
        <x:f t="array" ref="AI24:AI24">IF(OR(D24="",B24="직접입력",C24="직접입력"),"",INDEX(구분표!$I$2:$I$336,MATCH(1,(구분표!$G$2:$G$336='4. 특입'!B24)*(구분표!$E$2:$E$336='4. 특입'!C24)*(구분표!$F$2:$F$336='4. 특입'!D24),0)))</x:f>
        <x:v/>
      </x:c>
      <x:c r="AJ24" s="228"/>
      <x:c r="AK24" s="472" t="str">
        <x:f>IF($AF24="","",IF($AF24="-",0,SUMIFS('4. 특출'!$AB$6:$AB$2000,'4. 특출'!$AJ$6:$AJ$2000,$AF24)))</x:f>
        <x:v/>
      </x:c>
      <x:c r="AL24" s="377" t="str">
        <x:f>IF($AF24="","",IF($AF24="-",0,COUNTIF('4. 특출'!$AJ$6:$AJ$2000,$AF24)))</x:f>
        <x:v/>
      </x:c>
      <x:c r="AM24" s="374" t="str">
        <x:f t="shared" si="61"/>
        <x:v/>
      </x:c>
      <x:c r="AN24" s="228"/>
      <x:c r="AO24" s="472" t="str">
        <x:f>IF($AF24="","",IF($AF24="-",0,SUMIFS('4. 특출'!$AF$6:$AF$2000,'4. 특출'!$AJ$6:$AJ$2000,$AF24)))</x:f>
        <x:v/>
      </x:c>
      <x:c r="AP24" s="377" t="str">
        <x:f>IF($AF24="","",IF($AF24="-",0,COUNTIF('4. 특출'!$AJ$6:$AJ$2000,$AF24)))</x:f>
        <x:v/>
      </x:c>
      <x:c r="AQ24" s="374" t="str">
        <x:f t="shared" si="62"/>
        <x:v/>
      </x:c>
    </x:row>
    <x:row r="25" spans="1:43" s="165" customFormat="1" ht="69.950000000000003" customHeight="1">
      <x:c r="A25" s="155" t="str">
        <x:f>IF(D25="","",COUNTA($C$7:C25)-COUNTBLANK($C$7:C25)+4)</x:f>
        <x:v/>
      </x:c>
      <x:c r="B25" s="156" t="str">
        <x: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x:f>
        <x:v/>
      </x:c>
      <x:c r="C25" s="156" t="str">
        <x:f>IF(D25="","",IF(OR(D25="교육지원과"),"소방재난본부",VLOOKUP(D25,구분표!$A$3:$C$258,3,)))</x:f>
        <x:v/>
      </x:c>
      <x:c r="D25" s="226"/>
      <x:c r="E25" s="213"/>
      <x:c r="F25" s="388" t="str">
        <x:f t="shared" si="63"/>
        <x:v/>
      </x:c>
      <x:c r="G25" s="388" t="str">
        <x:f t="shared" si="63"/>
        <x:v/>
      </x:c>
      <x:c r="H25" s="214"/>
      <x:c r="I25" s="156" t="str">
        <x:f>IF(H25="","",VLOOKUP($H25,구분표!$O$3:$P$168,2,FALSE))</x:f>
        <x:v/>
      </x:c>
      <x:c r="J25" s="215"/>
      <x:c r="K25" s="459" t="str">
        <x:f t="shared" si="64"/>
        <x:v/>
      </x:c>
      <x:c r="L25" s="459" t="str">
        <x:f t="shared" si="65"/>
        <x:v/>
      </x:c>
      <x:c r="M25" s="461" t="str">
        <x:f t="shared" si="51"/>
        <x:v/>
      </x:c>
      <x:c r="N25" s="460"/>
      <x:c r="O25" s="461">
        <x:f t="shared" si="52"/>
        <x:v>0</x:v>
      </x:c>
      <x:c r="P25" s="462"/>
      <x:c r="Q25" s="463">
        <x:f t="shared" si="53"/>
        <x:v>0</x:v>
      </x:c>
      <x:c r="R25" s="162" t="str">
        <x:f t="shared" si="54"/>
        <x:v>X</x:v>
      </x:c>
      <x:c r="S25" s="230"/>
      <x:c r="T25" s="229"/>
      <x:c r="U25" s="231"/>
      <x:c r="V25" s="232"/>
      <x:c r="W25" s="231"/>
      <x:c r="X25" s="162" t="str">
        <x:f t="shared" si="55"/>
        <x:v/>
      </x:c>
      <x:c r="Y25" s="227"/>
      <x:c r="Z25" s="494" t="str">
        <x:f t="shared" si="56"/>
        <x:v/>
      </x:c>
      <x:c r="AA25" s="494" t="str">
        <x:f t="shared" si="57"/>
        <x:v/>
      </x:c>
      <x:c r="AC25" s="494" t="str">
        <x:f t="shared" si="58"/>
        <x:v/>
      </x:c>
      <x:c r="AD25" s="494" t="str">
        <x:f t="shared" si="59"/>
        <x:v/>
      </x:c>
      <x:c r="AF25" s="374" t="str">
        <x:f>IF(AI25="","",IF($X25="도비","-",CONCATENATE(AI25,"-",COUNTIF($AI$7:AI25,AI25))))</x:f>
        <x:v/>
      </x:c>
      <x:c r="AG25" s="374" t="str">
        <x:f t="shared" si="60"/>
        <x:v/>
      </x:c>
      <x:c r="AI25" s="374" t="str">
        <x:f t="array" ref="AI25:AI25">IF(OR(D25="",B25="직접입력",C25="직접입력"),"",INDEX(구분표!$I$2:$I$336,MATCH(1,(구분표!$G$2:$G$336='4. 특입'!B25)*(구분표!$E$2:$E$336='4. 특입'!C25)*(구분표!$F$2:$F$336='4. 특입'!D25),0)))</x:f>
        <x:v/>
      </x:c>
      <x:c r="AJ25" s="228"/>
      <x:c r="AK25" s="472" t="str">
        <x:f>IF($AF25="","",IF($AF25="-",0,SUMIFS('4. 특출'!$AB$6:$AB$2000,'4. 특출'!$AJ$6:$AJ$2000,$AF25)))</x:f>
        <x:v/>
      </x:c>
      <x:c r="AL25" s="377" t="str">
        <x:f>IF($AF25="","",IF($AF25="-",0,COUNTIF('4. 특출'!$AJ$6:$AJ$2000,$AF25)))</x:f>
        <x:v/>
      </x:c>
      <x:c r="AM25" s="374" t="str">
        <x:f t="shared" si="61"/>
        <x:v/>
      </x:c>
      <x:c r="AN25" s="228"/>
      <x:c r="AO25" s="472" t="str">
        <x:f>IF($AF25="","",IF($AF25="-",0,SUMIFS('4. 특출'!$AF$6:$AF$2000,'4. 특출'!$AJ$6:$AJ$2000,$AF25)))</x:f>
        <x:v/>
      </x:c>
      <x:c r="AP25" s="377" t="str">
        <x:f>IF($AF25="","",IF($AF25="-",0,COUNTIF('4. 특출'!$AJ$6:$AJ$2000,$AF25)))</x:f>
        <x:v/>
      </x:c>
      <x:c r="AQ25" s="374" t="str">
        <x:f t="shared" si="62"/>
        <x:v/>
      </x:c>
    </x:row>
    <x:row r="26" spans="1:43" s="165" customFormat="1" ht="69.950000000000003" customHeight="1">
      <x:c r="A26" s="155" t="str">
        <x:f>IF(D26="","",COUNTA($C$7:C26)-COUNTBLANK($C$7:C26)+4)</x:f>
        <x:v/>
      </x:c>
      <x:c r="B26" s="156" t="str">
        <x: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x:f>
        <x:v/>
      </x:c>
      <x:c r="C26" s="156" t="str">
        <x:f>IF(D26="","",IF(OR(D26="교육지원과"),"소방재난본부",VLOOKUP(D26,구분표!$A$3:$C$258,3,)))</x:f>
        <x:v/>
      </x:c>
      <x:c r="D26" s="226"/>
      <x:c r="E26" s="213"/>
      <x:c r="F26" s="388" t="str">
        <x:f t="shared" si="63"/>
        <x:v/>
      </x:c>
      <x:c r="G26" s="388" t="str">
        <x:f t="shared" si="63"/>
        <x:v/>
      </x:c>
      <x:c r="H26" s="214"/>
      <x:c r="I26" s="156" t="str">
        <x:f>IF(H26="","",VLOOKUP($H26,구분표!$O$3:$P$168,2,FALSE))</x:f>
        <x:v/>
      </x:c>
      <x:c r="J26" s="215"/>
      <x:c r="K26" s="459" t="str">
        <x:f t="shared" si="64"/>
        <x:v/>
      </x:c>
      <x:c r="L26" s="459" t="str">
        <x:f t="shared" si="65"/>
        <x:v/>
      </x:c>
      <x:c r="M26" s="461" t="str">
        <x:f t="shared" si="51"/>
        <x:v/>
      </x:c>
      <x:c r="N26" s="460"/>
      <x:c r="O26" s="461">
        <x:f t="shared" si="52"/>
        <x:v>0</x:v>
      </x:c>
      <x:c r="P26" s="462"/>
      <x:c r="Q26" s="463">
        <x:f t="shared" si="53"/>
        <x:v>0</x:v>
      </x:c>
      <x:c r="R26" s="162" t="str">
        <x:f t="shared" si="54"/>
        <x:v>X</x:v>
      </x:c>
      <x:c r="S26" s="230"/>
      <x:c r="T26" s="229"/>
      <x:c r="U26" s="231"/>
      <x:c r="V26" s="232"/>
      <x:c r="W26" s="231"/>
      <x:c r="X26" s="162" t="str">
        <x:f t="shared" si="55"/>
        <x:v/>
      </x:c>
      <x:c r="Y26" s="227"/>
      <x:c r="Z26" s="494" t="str">
        <x:f t="shared" si="56"/>
        <x:v/>
      </x:c>
      <x:c r="AA26" s="494" t="str">
        <x:f t="shared" si="57"/>
        <x:v/>
      </x:c>
      <x:c r="AC26" s="494" t="str">
        <x:f t="shared" si="58"/>
        <x:v/>
      </x:c>
      <x:c r="AD26" s="494" t="str">
        <x:f t="shared" si="59"/>
        <x:v/>
      </x:c>
      <x:c r="AF26" s="374" t="str">
        <x:f>IF(AI26="","",IF($X26="도비","-",CONCATENATE(AI26,"-",COUNTIF($AI$7:AI26,AI26))))</x:f>
        <x:v/>
      </x:c>
      <x:c r="AG26" s="374" t="str">
        <x:f t="shared" si="60"/>
        <x:v/>
      </x:c>
      <x:c r="AI26" s="374" t="str">
        <x:f t="array" ref="AI26:AI26">IF(OR(D26="",B26="직접입력",C26="직접입력"),"",INDEX(구분표!$I$2:$I$336,MATCH(1,(구분표!$G$2:$G$336='4. 특입'!B26)*(구분표!$E$2:$E$336='4. 특입'!C26)*(구분표!$F$2:$F$336='4. 특입'!D26),0)))</x:f>
        <x:v/>
      </x:c>
      <x:c r="AJ26" s="228"/>
      <x:c r="AK26" s="472" t="str">
        <x:f>IF($AF26="","",IF($AF26="-",0,SUMIFS('4. 특출'!$AB$6:$AB$2000,'4. 특출'!$AJ$6:$AJ$2000,$AF26)))</x:f>
        <x:v/>
      </x:c>
      <x:c r="AL26" s="377" t="str">
        <x:f>IF($AF26="","",IF($AF26="-",0,COUNTIF('4. 특출'!$AJ$6:$AJ$2000,$AF26)))</x:f>
        <x:v/>
      </x:c>
      <x:c r="AM26" s="374" t="str">
        <x:f t="shared" si="61"/>
        <x:v/>
      </x:c>
      <x:c r="AN26" s="228"/>
      <x:c r="AO26" s="472" t="str">
        <x:f>IF($AF26="","",IF($AF26="-",0,SUMIFS('4. 특출'!$AF$6:$AF$2000,'4. 특출'!$AJ$6:$AJ$2000,$AF26)))</x:f>
        <x:v/>
      </x:c>
      <x:c r="AP26" s="377" t="str">
        <x:f>IF($AF26="","",IF($AF26="-",0,COUNTIF('4. 특출'!$AJ$6:$AJ$2000,$AF26)))</x:f>
        <x:v/>
      </x:c>
      <x:c r="AQ26" s="374" t="str">
        <x:f t="shared" si="62"/>
        <x:v/>
      </x:c>
    </x:row>
    <x:row r="27" spans="1:43" ht="69.950000000000003" customHeight="1">
      <x:c r="A27" s="171"/>
      <x:c r="B27" s="888" t="s">
        <x:v>856</x:v>
      </x:c>
      <x:c r="C27" s="888"/>
      <x:c r="D27" s="888"/>
      <x:c r="E27" s="888"/>
      <x:c r="F27" s="888"/>
      <x:c r="G27" s="888"/>
      <x:c r="H27" s="172"/>
      <x:c r="I27" s="172"/>
      <x:c r="J27" s="349" t="str">
        <x:f>SUBTOTAL(3,J28:J31)&amp;"건"</x:f>
        <x:v>0건</x:v>
      </x:c>
      <x:c r="K27" s="458">
        <x:f t="shared" ref="K27:Q27" si="66">SUBTOTAL(9,K28:K31)</x:f>
        <x:v>0</x:v>
      </x:c>
      <x:c r="L27" s="458">
        <x:f t="shared" si="66"/>
        <x:v>0</x:v>
      </x:c>
      <x:c r="M27" s="458">
        <x:f t="shared" si="66"/>
        <x:v>0</x:v>
      </x:c>
      <x:c r="N27" s="458">
        <x:f t="shared" si="66"/>
        <x:v>0</x:v>
      </x:c>
      <x:c r="O27" s="458">
        <x:f t="shared" si="66"/>
        <x:v>0</x:v>
      </x:c>
      <x:c r="P27" s="458">
        <x:f t="shared" si="66"/>
        <x:v>0</x:v>
      </x:c>
      <x:c r="Q27" s="458">
        <x:f t="shared" si="66"/>
        <x:v>0</x:v>
      </x:c>
      <x:c r="R27" s="171"/>
      <x:c r="S27" s="171"/>
      <x:c r="T27" s="171"/>
      <x:c r="U27" s="171"/>
      <x:c r="V27" s="171"/>
      <x:c r="W27" s="171"/>
      <x:c r="X27" s="173"/>
      <x:c r="Y27" s="43"/>
      <x:c r="Z27" s="458">
        <x:f>SUBTOTAL(9,Z28:Z31)</x:f>
        <x:v>0</x:v>
      </x:c>
      <x:c r="AA27" s="458">
        <x:f>SUBTOTAL(9,AA28:AA31)</x:f>
        <x:v>0</x:v>
      </x:c>
      <x:c r="AB27" s="44"/>
      <x:c r="AC27" s="458">
        <x:f>SUBTOTAL(9,AC28:AC31)</x:f>
        <x:v>0</x:v>
      </x:c>
      <x:c r="AD27" s="458">
        <x:f>SUBTOTAL(9,AD28:AD31)</x:f>
        <x:v>0</x:v>
      </x:c>
      <x:c r="AE27" s="44"/>
      <x:c r="AF27" s="171"/>
      <x:c r="AG27" s="173"/>
      <x:c r="AH27" s="44"/>
      <x:c r="AI27" s="173"/>
      <x:c r="AJ27" s="44"/>
      <x:c r="AK27" s="458">
        <x:f>SUBTOTAL(9,AK28:AK31)</x:f>
        <x:v>0</x:v>
      </x:c>
      <x:c r="AL27" s="458">
        <x:f>SUBTOTAL(9,AL28:AL31)</x:f>
        <x:v>0</x:v>
      </x:c>
      <x:c r="AM27" s="555" t="str">
        <x:f>IF(COUNTIF(AM28:AM31,"@@")&gt;0,"@@","OK")</x:f>
        <x:v>OK</x:v>
      </x:c>
      <x:c r="AN27" s="44"/>
      <x:c r="AO27" s="458">
        <x:f>SUBTOTAL(9,AO28:AO31)</x:f>
        <x:v>0</x:v>
      </x:c>
      <x:c r="AP27" s="458">
        <x:f>SUBTOTAL(9,AP28:AP31)</x:f>
        <x:v>0</x:v>
      </x:c>
      <x:c r="AQ27" s="555" t="str">
        <x:f>IF(COUNTIF(AQ28:AQ31,"@@")&gt;0,"@@","OK")</x:f>
        <x:v>OK</x:v>
      </x:c>
    </x:row>
    <x:row r="28" spans="1:43" s="165" customFormat="1" ht="69.950000000000003" customHeight="1">
      <x:c r="A28" s="155" t="str">
        <x:f>IF(D28="","",COUNTA($C$7:C28)-COUNTBLANK($C$7:C28)+5)</x:f>
        <x:v/>
      </x:c>
      <x:c r="B28" s="156" t="str">
        <x: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x:f>
        <x:v/>
      </x:c>
      <x:c r="C28" s="156" t="str">
        <x:f>IF(D28="","",IF(OR(D28="교육지원과"),"소방재난본부",VLOOKUP(D28,구분표!$A$3:$C$258,3,)))</x:f>
        <x:v/>
      </x:c>
      <x:c r="D28" s="226"/>
      <x:c r="E28" s="213"/>
      <x:c r="F28" s="388" t="str">
        <x:f>IF($E28="","",IF($E28="2추","직접입력","-"))</x:f>
        <x:v/>
      </x:c>
      <x:c r="G28" s="388" t="str">
        <x:f>IF($E28="","",IF($E28="2추","직접입력","-"))</x:f>
        <x:v/>
      </x:c>
      <x:c r="H28" s="214"/>
      <x:c r="I28" s="156" t="str">
        <x:f>IF(H28="","",VLOOKUP($H28,구분표!$O$3:$P$168,2,FALSE))</x:f>
        <x:v/>
      </x:c>
      <x:c r="J28" s="215"/>
      <x:c r="K28" s="459" t="str">
        <x:f>IF($E28="","",IF(OR($E28="2추",$E28="1추",$E28="본예산"),"금액입력","-"))</x:f>
        <x:v/>
      </x:c>
      <x:c r="L28" s="459" t="str">
        <x:f>IF($E28="","",IF($E28="2추","금액입력","-"))</x:f>
        <x:v/>
      </x:c>
      <x:c r="M28" s="461" t="str">
        <x:f t="shared" ref="M28:M31" si="67">IF($E28="","",SUM(K28:L28))</x:f>
        <x:v/>
      </x:c>
      <x:c r="N28" s="460"/>
      <x:c r="O28" s="461">
        <x:f t="shared" ref="O28:O31" si="68">SUM(M28:N28)</x:f>
        <x:v>0</x:v>
      </x:c>
      <x:c r="P28" s="462"/>
      <x:c r="Q28" s="463">
        <x:f t="shared" ref="Q28:Q31" si="69">SUM(M28,P28)</x:f>
        <x:v>0</x:v>
      </x:c>
      <x:c r="R28" s="162" t="str">
        <x:f t="shared" ref="R28:R31" si="70">IF(AND((O28=0),(Q28&gt;0)),"O",IF(AND((N28&lt;0),(O28-Q28&lt;0)),"O","X"))</x:f>
        <x:v>X</x:v>
      </x:c>
      <x:c r="S28" s="230"/>
      <x:c r="T28" s="229"/>
      <x:c r="U28" s="231"/>
      <x:c r="V28" s="232"/>
      <x:c r="W28" s="231"/>
      <x:c r="X28" s="162" t="str">
        <x:f t="shared" ref="X28:X31" si="71">IF($H28="","",IF(OR($H28="511-01",$H28="511-02",$H28="511-03",$H28="311-02",$H28="311-04",$H28="321-01"),"국비","도비"))</x:f>
        <x:v/>
      </x:c>
      <x:c r="Y28" s="227"/>
      <x:c r="Z28" s="494" t="str">
        <x:f t="shared" ref="Z28:Z31" si="72">IF($X28="","",IF($X28="국비",$N28,0))</x:f>
        <x:v/>
      </x:c>
      <x:c r="AA28" s="494" t="str">
        <x:f t="shared" ref="AA28:AA31" si="73">IF($X28="","",IF($X28="도비",$N28,0))</x:f>
        <x:v/>
      </x:c>
      <x:c r="AC28" s="494" t="str">
        <x:f t="shared" ref="AC28:AC31" si="74">IF($X28="","",IF($X28="국비",$P28,0))</x:f>
        <x:v/>
      </x:c>
      <x:c r="AD28" s="494" t="str">
        <x:f t="shared" ref="AD28:AD31" si="75">IF($X28="","",IF($X28="도비",$P28,0))</x:f>
        <x:v/>
      </x:c>
      <x:c r="AF28" s="374" t="str">
        <x:f>IF(AI28="","",IF($X28="도비","-",CONCATENATE(AI28,"-",COUNTIF($AI$7:AI28,AI28))))</x:f>
        <x:v/>
      </x:c>
      <x:c r="AG28" s="374" t="str">
        <x:f t="shared" ref="AG28:AG31" si="76">IF($H28="","",IF($H28="511-01","국비",IF($H28="511-02","균특",IF($H28="511-03","기금",IF($H28="311-02","특교",IF($H28="311-04","소교",IF($H28="321-01","소멸","도비")))))))</x:f>
        <x:v/>
      </x:c>
      <x:c r="AI28" s="374" t="str">
        <x:f t="array" ref="AI28:AI28">IF(OR(D28="",B28="직접입력",C28="직접입력"),"",INDEX(구분표!$I$2:$I$336,MATCH(1,(구분표!$G$2:$G$336='4. 특입'!B28)*(구분표!$E$2:$E$336='4. 특입'!C28)*(구분표!$F$2:$F$336='4. 특입'!D28),0)))</x:f>
        <x:v/>
      </x:c>
      <x:c r="AJ28" s="228"/>
      <x:c r="AK28" s="472" t="str">
        <x:f>IF($AF28="","",IF($AF28="-",0,SUMIFS('4. 특출'!$AB$6:$AB$2000,'4. 특출'!$AJ$6:$AJ$2000,$AF28)))</x:f>
        <x:v/>
      </x:c>
      <x:c r="AL28" s="377" t="str">
        <x:f>IF($AF28="","",IF($AF28="-",0,COUNTIF('4. 특출'!$AJ$6:$AJ$2000,$AF28)))</x:f>
        <x:v/>
      </x:c>
      <x:c r="AM28" s="374" t="str">
        <x:f t="shared" ref="AM28:AM31" si="77">IF($AF28="","",IF($Z28=$AK28,"OK","@@"))</x:f>
        <x:v/>
      </x:c>
      <x:c r="AN28" s="228"/>
      <x:c r="AO28" s="472" t="str">
        <x:f>IF($AF28="","",IF($AF28="-",0,SUMIFS('4. 특출'!$AF$6:$AF$2000,'4. 특출'!$AJ$6:$AJ$2000,$AF28)))</x:f>
        <x:v/>
      </x:c>
      <x:c r="AP28" s="377" t="str">
        <x:f>IF($AF28="","",IF($AF28="-",0,COUNTIF('4. 특출'!$AJ$6:$AJ$2000,$AF28)))</x:f>
        <x:v/>
      </x:c>
      <x:c r="AQ28" s="374" t="str">
        <x:f t="shared" ref="AQ28:AQ31" si="78">IF($AF28="","",IF($AC28=$AO28,"OK","@@"))</x:f>
        <x:v/>
      </x:c>
    </x:row>
    <x:row r="29" spans="1:43" s="165" customFormat="1" ht="69.950000000000003" customHeight="1">
      <x:c r="A29" s="155" t="str">
        <x:f>IF(D29="","",COUNTA($C$7:C29)-COUNTBLANK($C$7:C29)+5)</x:f>
        <x:v/>
      </x:c>
      <x:c r="B29" s="156" t="str">
        <x: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x:f>
        <x:v/>
      </x:c>
      <x:c r="C29" s="156" t="str">
        <x:f>IF(D29="","",IF(OR(D29="교육지원과"),"소방재난본부",VLOOKUP(D29,구분표!$A$3:$C$258,3,)))</x:f>
        <x:v/>
      </x:c>
      <x:c r="D29" s="226"/>
      <x:c r="E29" s="213"/>
      <x:c r="F29" s="388" t="str">
        <x:f t="shared" ref="F29:G31" si="79">IF($E29="","",IF($E29="2추","직접입력","-"))</x:f>
        <x:v/>
      </x:c>
      <x:c r="G29" s="388" t="str">
        <x:f t="shared" si="79"/>
        <x:v/>
      </x:c>
      <x:c r="H29" s="214"/>
      <x:c r="I29" s="156" t="str">
        <x:f>IF(H29="","",VLOOKUP($H29,구분표!$O$3:$P$168,2,FALSE))</x:f>
        <x:v/>
      </x:c>
      <x:c r="J29" s="215"/>
      <x:c r="K29" s="459" t="str">
        <x:f t="shared" ref="K29:K31" si="80">IF($E29="","",IF(OR($E29="2추",$E29="1추",$E29="본예산"),"금액입력","-"))</x:f>
        <x:v/>
      </x:c>
      <x:c r="L29" s="459" t="str">
        <x:f t="shared" ref="L29:L31" si="81">IF($E29="","",IF($E29="2추","금액입력","-"))</x:f>
        <x:v/>
      </x:c>
      <x:c r="M29" s="461" t="str">
        <x:f t="shared" si="67"/>
        <x:v/>
      </x:c>
      <x:c r="N29" s="460"/>
      <x:c r="O29" s="461">
        <x:f t="shared" si="68"/>
        <x:v>0</x:v>
      </x:c>
      <x:c r="P29" s="462"/>
      <x:c r="Q29" s="463">
        <x:f t="shared" si="69"/>
        <x:v>0</x:v>
      </x:c>
      <x:c r="R29" s="162" t="str">
        <x:f t="shared" si="70"/>
        <x:v>X</x:v>
      </x:c>
      <x:c r="S29" s="230"/>
      <x:c r="T29" s="229"/>
      <x:c r="U29" s="231"/>
      <x:c r="V29" s="232"/>
      <x:c r="W29" s="231"/>
      <x:c r="X29" s="162" t="str">
        <x:f t="shared" si="71"/>
        <x:v/>
      </x:c>
      <x:c r="Y29" s="227"/>
      <x:c r="Z29" s="494" t="str">
        <x:f t="shared" si="72"/>
        <x:v/>
      </x:c>
      <x:c r="AA29" s="494" t="str">
        <x:f t="shared" si="73"/>
        <x:v/>
      </x:c>
      <x:c r="AC29" s="494" t="str">
        <x:f t="shared" si="74"/>
        <x:v/>
      </x:c>
      <x:c r="AD29" s="494" t="str">
        <x:f t="shared" si="75"/>
        <x:v/>
      </x:c>
      <x:c r="AF29" s="374" t="str">
        <x:f>IF(AI29="","",IF($X29="도비","-",CONCATENATE(AI29,"-",COUNTIF($AI$7:AI29,AI29))))</x:f>
        <x:v/>
      </x:c>
      <x:c r="AG29" s="374" t="str">
        <x:f t="shared" si="76"/>
        <x:v/>
      </x:c>
      <x:c r="AI29" s="374" t="str">
        <x:f t="array" ref="AI29:AI29">IF(OR(D29="",B29="직접입력",C29="직접입력"),"",INDEX(구분표!$I$2:$I$336,MATCH(1,(구분표!$G$2:$G$336='4. 특입'!B29)*(구분표!$E$2:$E$336='4. 특입'!C29)*(구분표!$F$2:$F$336='4. 특입'!D29),0)))</x:f>
        <x:v/>
      </x:c>
      <x:c r="AJ29" s="228"/>
      <x:c r="AK29" s="472" t="str">
        <x:f>IF($AF29="","",IF($AF29="-",0,SUMIFS('4. 특출'!$AB$6:$AB$2000,'4. 특출'!$AJ$6:$AJ$2000,$AF29)))</x:f>
        <x:v/>
      </x:c>
      <x:c r="AL29" s="377" t="str">
        <x:f>IF($AF29="","",IF($AF29="-",0,COUNTIF('4. 특출'!$AJ$6:$AJ$2000,$AF29)))</x:f>
        <x:v/>
      </x:c>
      <x:c r="AM29" s="374" t="str">
        <x:f t="shared" si="77"/>
        <x:v/>
      </x:c>
      <x:c r="AN29" s="228"/>
      <x:c r="AO29" s="472" t="str">
        <x:f>IF($AF29="","",IF($AF29="-",0,SUMIFS('4. 특출'!$AF$6:$AF$2000,'4. 특출'!$AJ$6:$AJ$2000,$AF29)))</x:f>
        <x:v/>
      </x:c>
      <x:c r="AP29" s="377" t="str">
        <x:f>IF($AF29="","",IF($AF29="-",0,COUNTIF('4. 특출'!$AJ$6:$AJ$2000,$AF29)))</x:f>
        <x:v/>
      </x:c>
      <x:c r="AQ29" s="374" t="str">
        <x:f t="shared" si="78"/>
        <x:v/>
      </x:c>
    </x:row>
    <x:row r="30" spans="1:43" s="165" customFormat="1" ht="69.950000000000003" customHeight="1">
      <x:c r="A30" s="155" t="str">
        <x:f>IF(D30="","",COUNTA($C$7:C30)-COUNTBLANK($C$7:C30)+5)</x:f>
        <x:v/>
      </x:c>
      <x:c r="B30" s="156" t="str">
        <x: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x:f>
        <x:v/>
      </x:c>
      <x:c r="C30" s="156" t="str">
        <x:f>IF(D30="","",IF(OR(D30="교육지원과"),"소방재난본부",VLOOKUP(D30,구분표!$A$3:$C$258,3,)))</x:f>
        <x:v/>
      </x:c>
      <x:c r="D30" s="226"/>
      <x:c r="E30" s="213"/>
      <x:c r="F30" s="388" t="str">
        <x:f t="shared" si="79"/>
        <x:v/>
      </x:c>
      <x:c r="G30" s="388" t="str">
        <x:f t="shared" si="79"/>
        <x:v/>
      </x:c>
      <x:c r="H30" s="214"/>
      <x:c r="I30" s="156" t="str">
        <x:f>IF(H30="","",VLOOKUP($H30,구분표!$O$3:$P$168,2,FALSE))</x:f>
        <x:v/>
      </x:c>
      <x:c r="J30" s="215"/>
      <x:c r="K30" s="459" t="str">
        <x:f t="shared" si="80"/>
        <x:v/>
      </x:c>
      <x:c r="L30" s="459" t="str">
        <x:f t="shared" si="81"/>
        <x:v/>
      </x:c>
      <x:c r="M30" s="461" t="str">
        <x:f t="shared" si="67"/>
        <x:v/>
      </x:c>
      <x:c r="N30" s="460"/>
      <x:c r="O30" s="461">
        <x:f t="shared" si="68"/>
        <x:v>0</x:v>
      </x:c>
      <x:c r="P30" s="462"/>
      <x:c r="Q30" s="463">
        <x:f t="shared" si="69"/>
        <x:v>0</x:v>
      </x:c>
      <x:c r="R30" s="162" t="str">
        <x:f t="shared" si="70"/>
        <x:v>X</x:v>
      </x:c>
      <x:c r="S30" s="230"/>
      <x:c r="T30" s="229"/>
      <x:c r="U30" s="231"/>
      <x:c r="V30" s="232"/>
      <x:c r="W30" s="231"/>
      <x:c r="X30" s="162" t="str">
        <x:f t="shared" si="71"/>
        <x:v/>
      </x:c>
      <x:c r="Y30" s="227"/>
      <x:c r="Z30" s="494" t="str">
        <x:f t="shared" si="72"/>
        <x:v/>
      </x:c>
      <x:c r="AA30" s="494" t="str">
        <x:f t="shared" si="73"/>
        <x:v/>
      </x:c>
      <x:c r="AC30" s="494" t="str">
        <x:f t="shared" si="74"/>
        <x:v/>
      </x:c>
      <x:c r="AD30" s="494" t="str">
        <x:f t="shared" si="75"/>
        <x:v/>
      </x:c>
      <x:c r="AF30" s="374" t="str">
        <x:f>IF(AI30="","",IF($X30="도비","-",CONCATENATE(AI30,"-",COUNTIF($AI$7:AI30,AI30))))</x:f>
        <x:v/>
      </x:c>
      <x:c r="AG30" s="374" t="str">
        <x:f t="shared" si="76"/>
        <x:v/>
      </x:c>
      <x:c r="AI30" s="374" t="str">
        <x:f t="array" ref="AI30:AI30">IF(OR(D30="",B30="직접입력",C30="직접입력"),"",INDEX(구분표!$I$2:$I$336,MATCH(1,(구분표!$G$2:$G$336='4. 특입'!B30)*(구분표!$E$2:$E$336='4. 특입'!C30)*(구분표!$F$2:$F$336='4. 특입'!D30),0)))</x:f>
        <x:v/>
      </x:c>
      <x:c r="AJ30" s="228"/>
      <x:c r="AK30" s="472" t="str">
        <x:f>IF($AF30="","",IF($AF30="-",0,SUMIFS('4. 특출'!$AB$6:$AB$2000,'4. 특출'!$AJ$6:$AJ$2000,$AF30)))</x:f>
        <x:v/>
      </x:c>
      <x:c r="AL30" s="377" t="str">
        <x:f>IF($AF30="","",IF($AF30="-",0,COUNTIF('4. 특출'!$AJ$6:$AJ$2000,$AF30)))</x:f>
        <x:v/>
      </x:c>
      <x:c r="AM30" s="374" t="str">
        <x:f t="shared" si="77"/>
        <x:v/>
      </x:c>
      <x:c r="AN30" s="228"/>
      <x:c r="AO30" s="472" t="str">
        <x:f>IF($AF30="","",IF($AF30="-",0,SUMIFS('4. 특출'!$AF$6:$AF$2000,'4. 특출'!$AJ$6:$AJ$2000,$AF30)))</x:f>
        <x:v/>
      </x:c>
      <x:c r="AP30" s="377" t="str">
        <x:f>IF($AF30="","",IF($AF30="-",0,COUNTIF('4. 특출'!$AJ$6:$AJ$2000,$AF30)))</x:f>
        <x:v/>
      </x:c>
      <x:c r="AQ30" s="374" t="str">
        <x:f t="shared" si="78"/>
        <x:v/>
      </x:c>
    </x:row>
    <x:row r="31" spans="1:43" s="165" customFormat="1" ht="69.950000000000003" customHeight="1">
      <x:c r="A31" s="155" t="str">
        <x:f>IF(D31="","",COUNTA($C$7:C31)-COUNTBLANK($C$7:C31)+5)</x:f>
        <x:v/>
      </x:c>
      <x:c r="B31" s="156" t="str">
        <x: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x:f>
        <x:v/>
      </x:c>
      <x:c r="C31" s="156" t="str">
        <x:f>IF(D31="","",IF(OR(D31="교육지원과"),"소방재난본부",VLOOKUP(D31,구분표!$A$3:$C$258,3,)))</x:f>
        <x:v/>
      </x:c>
      <x:c r="D31" s="226"/>
      <x:c r="E31" s="213"/>
      <x:c r="F31" s="388" t="str">
        <x:f t="shared" si="79"/>
        <x:v/>
      </x:c>
      <x:c r="G31" s="388" t="str">
        <x:f t="shared" si="79"/>
        <x:v/>
      </x:c>
      <x:c r="H31" s="214"/>
      <x:c r="I31" s="156" t="str">
        <x:f>IF(H31="","",VLOOKUP($H31,구분표!$O$3:$P$168,2,FALSE))</x:f>
        <x:v/>
      </x:c>
      <x:c r="J31" s="215"/>
      <x:c r="K31" s="459" t="str">
        <x:f t="shared" si="80"/>
        <x:v/>
      </x:c>
      <x:c r="L31" s="459" t="str">
        <x:f t="shared" si="81"/>
        <x:v/>
      </x:c>
      <x:c r="M31" s="461" t="str">
        <x:f t="shared" si="67"/>
        <x:v/>
      </x:c>
      <x:c r="N31" s="460"/>
      <x:c r="O31" s="461">
        <x:f t="shared" si="68"/>
        <x:v>0</x:v>
      </x:c>
      <x:c r="P31" s="462"/>
      <x:c r="Q31" s="463">
        <x:f t="shared" si="69"/>
        <x:v>0</x:v>
      </x:c>
      <x:c r="R31" s="162" t="str">
        <x:f t="shared" si="70"/>
        <x:v>X</x:v>
      </x:c>
      <x:c r="S31" s="230"/>
      <x:c r="T31" s="229"/>
      <x:c r="U31" s="231"/>
      <x:c r="V31" s="232"/>
      <x:c r="W31" s="231"/>
      <x:c r="X31" s="162" t="str">
        <x:f t="shared" si="71"/>
        <x:v/>
      </x:c>
      <x:c r="Y31" s="227"/>
      <x:c r="Z31" s="494" t="str">
        <x:f t="shared" si="72"/>
        <x:v/>
      </x:c>
      <x:c r="AA31" s="494" t="str">
        <x:f t="shared" si="73"/>
        <x:v/>
      </x:c>
      <x:c r="AC31" s="494" t="str">
        <x:f t="shared" si="74"/>
        <x:v/>
      </x:c>
      <x:c r="AD31" s="494" t="str">
        <x:f t="shared" si="75"/>
        <x:v/>
      </x:c>
      <x:c r="AF31" s="374" t="str">
        <x:f>IF(AI31="","",IF($X31="도비","-",CONCATENATE(AI31,"-",COUNTIF($AI$7:AI31,AI31))))</x:f>
        <x:v/>
      </x:c>
      <x:c r="AG31" s="374" t="str">
        <x:f t="shared" si="76"/>
        <x:v/>
      </x:c>
      <x:c r="AI31" s="374" t="str">
        <x:f t="array" ref="AI31:AI31">IF(OR(D31="",B31="직접입력",C31="직접입력"),"",INDEX(구분표!$I$2:$I$336,MATCH(1,(구분표!$G$2:$G$336='4. 특입'!B31)*(구분표!$E$2:$E$336='4. 특입'!C31)*(구분표!$F$2:$F$336='4. 특입'!D31),0)))</x:f>
        <x:v/>
      </x:c>
      <x:c r="AJ31" s="228"/>
      <x:c r="AK31" s="472" t="str">
        <x:f>IF($AF31="","",IF($AF31="-",0,SUMIFS('4. 특출'!$AB$6:$AB$2000,'4. 특출'!$AJ$6:$AJ$2000,$AF31)))</x:f>
        <x:v/>
      </x:c>
      <x:c r="AL31" s="377" t="str">
        <x:f>IF($AF31="","",IF($AF31="-",0,COUNTIF('4. 특출'!$AJ$6:$AJ$2000,$AF31)))</x:f>
        <x:v/>
      </x:c>
      <x:c r="AM31" s="374" t="str">
        <x:f t="shared" si="77"/>
        <x:v/>
      </x:c>
      <x:c r="AN31" s="228"/>
      <x:c r="AO31" s="472" t="str">
        <x:f>IF($AF31="","",IF($AF31="-",0,SUMIFS('4. 특출'!$AF$6:$AF$2000,'4. 특출'!$AJ$6:$AJ$2000,$AF31)))</x:f>
        <x:v/>
      </x:c>
      <x:c r="AP31" s="377" t="str">
        <x:f>IF($AF31="","",IF($AF31="-",0,COUNTIF('4. 특출'!$AJ$6:$AJ$2000,$AF31)))</x:f>
        <x:v/>
      </x:c>
      <x:c r="AQ31" s="374" t="str">
        <x:f t="shared" si="78"/>
        <x:v/>
      </x:c>
    </x:row>
    <x:row r="32" spans="1:43" ht="69.950000000000003" customHeight="1">
      <x:c r="A32" s="171"/>
      <x:c r="B32" s="888" t="s">
        <x:v>1496</x:v>
      </x:c>
      <x:c r="C32" s="888"/>
      <x:c r="D32" s="888"/>
      <x:c r="E32" s="888"/>
      <x:c r="F32" s="888"/>
      <x:c r="G32" s="888"/>
      <x:c r="H32" s="172"/>
      <x:c r="I32" s="172"/>
      <x:c r="J32" s="349" t="str">
        <x:f>SUBTOTAL(3,J33:J36)&amp;"건"</x:f>
        <x:v>0건</x:v>
      </x:c>
      <x:c r="K32" s="458">
        <x:f t="shared" ref="K32:Q32" si="82">SUBTOTAL(9,K33:K36)</x:f>
        <x:v>0</x:v>
      </x:c>
      <x:c r="L32" s="458">
        <x:f t="shared" si="82"/>
        <x:v>0</x:v>
      </x:c>
      <x:c r="M32" s="458">
        <x:f t="shared" si="82"/>
        <x:v>0</x:v>
      </x:c>
      <x:c r="N32" s="458">
        <x:f t="shared" si="82"/>
        <x:v>0</x:v>
      </x:c>
      <x:c r="O32" s="458">
        <x:f t="shared" si="82"/>
        <x:v>0</x:v>
      </x:c>
      <x:c r="P32" s="458">
        <x:f t="shared" si="82"/>
        <x:v>0</x:v>
      </x:c>
      <x:c r="Q32" s="458">
        <x:f t="shared" si="82"/>
        <x:v>0</x:v>
      </x:c>
      <x:c r="R32" s="171"/>
      <x:c r="S32" s="171"/>
      <x:c r="T32" s="171"/>
      <x:c r="U32" s="171"/>
      <x:c r="V32" s="171"/>
      <x:c r="W32" s="171"/>
      <x:c r="X32" s="173"/>
      <x:c r="Y32" s="43"/>
      <x:c r="Z32" s="458">
        <x:f>SUBTOTAL(9,Z33:Z36)</x:f>
        <x:v>0</x:v>
      </x:c>
      <x:c r="AA32" s="458">
        <x:f>SUBTOTAL(9,AA33:AA36)</x:f>
        <x:v>0</x:v>
      </x:c>
      <x:c r="AB32" s="44"/>
      <x:c r="AC32" s="458">
        <x:f>SUBTOTAL(9,AC33:AC36)</x:f>
        <x:v>0</x:v>
      </x:c>
      <x:c r="AD32" s="458">
        <x:f>SUBTOTAL(9,AD33:AD36)</x:f>
        <x:v>0</x:v>
      </x:c>
      <x:c r="AE32" s="44"/>
      <x:c r="AF32" s="171"/>
      <x:c r="AG32" s="173"/>
      <x:c r="AH32" s="44"/>
      <x:c r="AI32" s="173"/>
      <x:c r="AJ32" s="44"/>
      <x:c r="AK32" s="458">
        <x:f>SUBTOTAL(9,AK33:AK36)</x:f>
        <x:v>0</x:v>
      </x:c>
      <x:c r="AL32" s="458">
        <x:f>SUBTOTAL(9,AL33:AL36)</x:f>
        <x:v>0</x:v>
      </x:c>
      <x:c r="AM32" s="555" t="str">
        <x:f>IF(COUNTIF(AM33:AM36,"@@")&gt;0,"@@","OK")</x:f>
        <x:v>OK</x:v>
      </x:c>
      <x:c r="AN32" s="44"/>
      <x:c r="AO32" s="458">
        <x:f>SUBTOTAL(9,AO33:AO36)</x:f>
        <x:v>0</x:v>
      </x:c>
      <x:c r="AP32" s="458">
        <x:f>SUBTOTAL(9,AP33:AP36)</x:f>
        <x:v>0</x:v>
      </x:c>
      <x:c r="AQ32" s="555" t="str">
        <x:f>IF(COUNTIF(AQ33:AQ36,"@@")&gt;0,"@@","OK")</x:f>
        <x:v>OK</x:v>
      </x:c>
    </x:row>
    <x:row r="33" spans="1:43" s="165" customFormat="1" ht="69.950000000000003" customHeight="1">
      <x:c r="A33" s="155" t="str">
        <x:f>IF(D33="","",COUNTA($C$7:C33)-COUNTBLANK($C$7:C33)+6)</x:f>
        <x:v/>
      </x:c>
      <x:c r="B33" s="156" t="str">
        <x: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x:f>
        <x:v/>
      </x:c>
      <x:c r="C33" s="156" t="str">
        <x:f>IF(D33="","",IF(OR(D33="교육지원과"),"소방재난본부",VLOOKUP(D33,구분표!$A$3:$C$258,3,)))</x:f>
        <x:v/>
      </x:c>
      <x:c r="D33" s="226"/>
      <x:c r="E33" s="213"/>
      <x:c r="F33" s="388" t="str">
        <x:f>IF($E33="","",IF($E33="2추","직접입력","-"))</x:f>
        <x:v/>
      </x:c>
      <x:c r="G33" s="388" t="str">
        <x:f>IF($E33="","",IF($E33="2추","직접입력","-"))</x:f>
        <x:v/>
      </x:c>
      <x:c r="H33" s="214"/>
      <x:c r="I33" s="156" t="str">
        <x:f>IF(H33="","",VLOOKUP($H33,구분표!$O$3:$P$168,2,FALSE))</x:f>
        <x:v/>
      </x:c>
      <x:c r="J33" s="215"/>
      <x:c r="K33" s="459" t="str">
        <x:f>IF($E33="","",IF(OR($E33="2추",$E33="1추",$E33="본예산"),"금액입력","-"))</x:f>
        <x:v/>
      </x:c>
      <x:c r="L33" s="459" t="str">
        <x:f>IF($E33="","",IF($E33="2추","금액입력","-"))</x:f>
        <x:v/>
      </x:c>
      <x:c r="M33" s="461" t="str">
        <x:f t="shared" ref="M33:M36" si="83">IF($E33="","",SUM(K33:L33))</x:f>
        <x:v/>
      </x:c>
      <x:c r="N33" s="460"/>
      <x:c r="O33" s="461">
        <x:f t="shared" ref="O33:O36" si="84">SUM(M33:N33)</x:f>
        <x:v>0</x:v>
      </x:c>
      <x:c r="P33" s="462"/>
      <x:c r="Q33" s="463">
        <x:f t="shared" ref="Q33:Q36" si="85">SUM(M33,P33)</x:f>
        <x:v>0</x:v>
      </x:c>
      <x:c r="R33" s="162" t="str">
        <x:f t="shared" ref="R33:R36" si="86">IF(AND((O33=0),(Q33&gt;0)),"O",IF(AND((N33&lt;0),(O33-Q33&lt;0)),"O","X"))</x:f>
        <x:v>X</x:v>
      </x:c>
      <x:c r="S33" s="230"/>
      <x:c r="T33" s="229"/>
      <x:c r="U33" s="231"/>
      <x:c r="V33" s="232"/>
      <x:c r="W33" s="231"/>
      <x:c r="X33" s="162" t="str">
        <x:f t="shared" ref="X33:X36" si="87">IF($H33="","",IF(OR($H33="511-01",$H33="511-02",$H33="511-03",$H33="311-02",$H33="311-04",$H33="321-01"),"국비","도비"))</x:f>
        <x:v/>
      </x:c>
      <x:c r="Y33" s="227"/>
      <x:c r="Z33" s="494" t="str">
        <x:f t="shared" ref="Z33:Z36" si="88">IF($X33="","",IF($X33="국비",$N33,0))</x:f>
        <x:v/>
      </x:c>
      <x:c r="AA33" s="494" t="str">
        <x:f t="shared" ref="AA33:AA36" si="89">IF($X33="","",IF($X33="도비",$N33,0))</x:f>
        <x:v/>
      </x:c>
      <x:c r="AC33" s="494" t="str">
        <x:f t="shared" ref="AC33:AC36" si="90">IF($X33="","",IF($X33="국비",$P33,0))</x:f>
        <x:v/>
      </x:c>
      <x:c r="AD33" s="494" t="str">
        <x:f t="shared" ref="AD33:AD36" si="91">IF($X33="","",IF($X33="도비",$P33,0))</x:f>
        <x:v/>
      </x:c>
      <x:c r="AF33" s="374" t="str">
        <x:f>IF(AI33="","",IF($X33="도비","-",CONCATENATE(AI33,"-",COUNTIF($AI$7:AI33,AI33))))</x:f>
        <x:v/>
      </x:c>
      <x:c r="AG33" s="374" t="str">
        <x:f t="shared" ref="AG33:AG36" si="92">IF($H33="","",IF($H33="511-01","국비",IF($H33="511-02","균특",IF($H33="511-03","기금",IF($H33="311-02","특교",IF($H33="311-04","소교",IF($H33="321-01","소멸","도비")))))))</x:f>
        <x:v/>
      </x:c>
      <x:c r="AI33" s="374" t="str">
        <x:f t="array" ref="AI33:AI33">IF(OR(D33="",B33="직접입력",C33="직접입력"),"",INDEX(구분표!$I$2:$I$336,MATCH(1,(구분표!$G$2:$G$336='4. 특입'!B33)*(구분표!$E$2:$E$336='4. 특입'!C33)*(구분표!$F$2:$F$336='4. 특입'!D33),0)))</x:f>
        <x:v/>
      </x:c>
      <x:c r="AJ33" s="228"/>
      <x:c r="AK33" s="472" t="str">
        <x:f>IF($AF33="","",IF($AF33="-",0,SUMIFS('4. 특출'!$AB$6:$AB$2000,'4. 특출'!$AJ$6:$AJ$2000,$AF33)))</x:f>
        <x:v/>
      </x:c>
      <x:c r="AL33" s="377" t="str">
        <x:f>IF($AF33="","",IF($AF33="-",0,COUNTIF('4. 특출'!$AJ$6:$AJ$2000,$AF33)))</x:f>
        <x:v/>
      </x:c>
      <x:c r="AM33" s="374" t="str">
        <x:f t="shared" ref="AM33:AM36" si="93">IF($AF33="","",IF($Z33=$AK33,"OK","@@"))</x:f>
        <x:v/>
      </x:c>
      <x:c r="AN33" s="228"/>
      <x:c r="AO33" s="472" t="str">
        <x:f>IF($AF33="","",IF($AF33="-",0,SUMIFS('4. 특출'!$AF$6:$AF$2000,'4. 특출'!$AJ$6:$AJ$2000,$AF33)))</x:f>
        <x:v/>
      </x:c>
      <x:c r="AP33" s="377" t="str">
        <x:f>IF($AF33="","",IF($AF33="-",0,COUNTIF('4. 특출'!$AJ$6:$AJ$2000,$AF33)))</x:f>
        <x:v/>
      </x:c>
      <x:c r="AQ33" s="374" t="str">
        <x:f t="shared" ref="AQ33:AQ36" si="94">IF($AF33="","",IF($AC33=$AO33,"OK","@@"))</x:f>
        <x:v/>
      </x:c>
    </x:row>
    <x:row r="34" spans="1:43" s="165" customFormat="1" ht="69.950000000000003" customHeight="1">
      <x:c r="A34" s="155" t="str">
        <x:f>IF(D34="","",COUNTA($C$7:C34)-COUNTBLANK($C$7:C34)+6)</x:f>
        <x:v/>
      </x:c>
      <x:c r="B34" s="156" t="str">
        <x: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x:f>
        <x:v/>
      </x:c>
      <x:c r="C34" s="156" t="str">
        <x:f>IF(D34="","",IF(OR(D34="교육지원과"),"소방재난본부",VLOOKUP(D34,구분표!$A$3:$C$258,3,)))</x:f>
        <x:v/>
      </x:c>
      <x:c r="D34" s="226"/>
      <x:c r="E34" s="213"/>
      <x:c r="F34" s="388" t="str">
        <x:f t="shared" ref="F34:G36" si="95">IF($E34="","",IF($E34="2추","직접입력","-"))</x:f>
        <x:v/>
      </x:c>
      <x:c r="G34" s="388" t="str">
        <x:f t="shared" si="95"/>
        <x:v/>
      </x:c>
      <x:c r="H34" s="214"/>
      <x:c r="I34" s="156" t="str">
        <x:f>IF(H34="","",VLOOKUP($H34,구분표!$O$3:$P$168,2,FALSE))</x:f>
        <x:v/>
      </x:c>
      <x:c r="J34" s="215"/>
      <x:c r="K34" s="459" t="str">
        <x:f t="shared" ref="K34:K36" si="96">IF($E34="","",IF(OR($E34="2추",$E34="1추",$E34="본예산"),"금액입력","-"))</x:f>
        <x:v/>
      </x:c>
      <x:c r="L34" s="459" t="str">
        <x:f t="shared" ref="L34:L36" si="97">IF($E34="","",IF($E34="2추","금액입력","-"))</x:f>
        <x:v/>
      </x:c>
      <x:c r="M34" s="461" t="str">
        <x:f t="shared" si="83"/>
        <x:v/>
      </x:c>
      <x:c r="N34" s="460"/>
      <x:c r="O34" s="461">
        <x:f t="shared" si="84"/>
        <x:v>0</x:v>
      </x:c>
      <x:c r="P34" s="462"/>
      <x:c r="Q34" s="463">
        <x:f t="shared" si="85"/>
        <x:v>0</x:v>
      </x:c>
      <x:c r="R34" s="162" t="str">
        <x:f t="shared" si="86"/>
        <x:v>X</x:v>
      </x:c>
      <x:c r="S34" s="230"/>
      <x:c r="T34" s="229"/>
      <x:c r="U34" s="231"/>
      <x:c r="V34" s="232"/>
      <x:c r="W34" s="231"/>
      <x:c r="X34" s="162" t="str">
        <x:f t="shared" si="87"/>
        <x:v/>
      </x:c>
      <x:c r="Y34" s="227"/>
      <x:c r="Z34" s="494" t="str">
        <x:f t="shared" si="88"/>
        <x:v/>
      </x:c>
      <x:c r="AA34" s="494" t="str">
        <x:f t="shared" si="89"/>
        <x:v/>
      </x:c>
      <x:c r="AC34" s="494" t="str">
        <x:f t="shared" si="90"/>
        <x:v/>
      </x:c>
      <x:c r="AD34" s="494" t="str">
        <x:f t="shared" si="91"/>
        <x:v/>
      </x:c>
      <x:c r="AF34" s="374" t="str">
        <x:f>IF(AI34="","",IF($X34="도비","-",CONCATENATE(AI34,"-",COUNTIF($AI$7:AI34,AI34))))</x:f>
        <x:v/>
      </x:c>
      <x:c r="AG34" s="374" t="str">
        <x:f t="shared" si="92"/>
        <x:v/>
      </x:c>
      <x:c r="AI34" s="374" t="str">
        <x:f t="array" ref="AI34:AI34">IF(OR(D34="",B34="직접입력",C34="직접입력"),"",INDEX(구분표!$I$2:$I$336,MATCH(1,(구분표!$G$2:$G$336='4. 특입'!B34)*(구분표!$E$2:$E$336='4. 특입'!C34)*(구분표!$F$2:$F$336='4. 특입'!D34),0)))</x:f>
        <x:v/>
      </x:c>
      <x:c r="AJ34" s="228"/>
      <x:c r="AK34" s="472" t="str">
        <x:f>IF($AF34="","",IF($AF34="-",0,SUMIFS('4. 특출'!$AB$6:$AB$2000,'4. 특출'!$AJ$6:$AJ$2000,$AF34)))</x:f>
        <x:v/>
      </x:c>
      <x:c r="AL34" s="377" t="str">
        <x:f>IF($AF34="","",IF($AF34="-",0,COUNTIF('4. 특출'!$AJ$6:$AJ$2000,$AF34)))</x:f>
        <x:v/>
      </x:c>
      <x:c r="AM34" s="374" t="str">
        <x:f t="shared" si="93"/>
        <x:v/>
      </x:c>
      <x:c r="AN34" s="228"/>
      <x:c r="AO34" s="472" t="str">
        <x:f>IF($AF34="","",IF($AF34="-",0,SUMIFS('4. 특출'!$AF$6:$AF$2000,'4. 특출'!$AJ$6:$AJ$2000,$AF34)))</x:f>
        <x:v/>
      </x:c>
      <x:c r="AP34" s="377" t="str">
        <x:f>IF($AF34="","",IF($AF34="-",0,COUNTIF('4. 특출'!$AJ$6:$AJ$2000,$AF34)))</x:f>
        <x:v/>
      </x:c>
      <x:c r="AQ34" s="374" t="str">
        <x:f t="shared" si="94"/>
        <x:v/>
      </x:c>
    </x:row>
    <x:row r="35" spans="1:43" s="165" customFormat="1" ht="69.950000000000003" customHeight="1">
      <x:c r="A35" s="155" t="str">
        <x:f>IF(D35="","",COUNTA($C$7:C35)-COUNTBLANK($C$7:C35)+6)</x:f>
        <x:v/>
      </x:c>
      <x:c r="B35" s="156" t="str">
        <x: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x:f>
        <x:v/>
      </x:c>
      <x:c r="C35" s="156" t="str">
        <x:f>IF(D35="","",IF(OR(D35="교육지원과"),"소방재난본부",VLOOKUP(D35,구분표!$A$3:$C$258,3,)))</x:f>
        <x:v/>
      </x:c>
      <x:c r="D35" s="226"/>
      <x:c r="E35" s="213"/>
      <x:c r="F35" s="388" t="str">
        <x:f t="shared" si="95"/>
        <x:v/>
      </x:c>
      <x:c r="G35" s="388" t="str">
        <x:f t="shared" si="95"/>
        <x:v/>
      </x:c>
      <x:c r="H35" s="214"/>
      <x:c r="I35" s="156" t="str">
        <x:f>IF(H35="","",VLOOKUP($H35,구분표!$O$3:$P$168,2,FALSE))</x:f>
        <x:v/>
      </x:c>
      <x:c r="J35" s="215"/>
      <x:c r="K35" s="459" t="str">
        <x:f t="shared" si="96"/>
        <x:v/>
      </x:c>
      <x:c r="L35" s="459" t="str">
        <x:f t="shared" si="97"/>
        <x:v/>
      </x:c>
      <x:c r="M35" s="461" t="str">
        <x:f t="shared" si="83"/>
        <x:v/>
      </x:c>
      <x:c r="N35" s="460"/>
      <x:c r="O35" s="461">
        <x:f t="shared" si="84"/>
        <x:v>0</x:v>
      </x:c>
      <x:c r="P35" s="462"/>
      <x:c r="Q35" s="463">
        <x:f t="shared" si="85"/>
        <x:v>0</x:v>
      </x:c>
      <x:c r="R35" s="162" t="str">
        <x:f t="shared" si="86"/>
        <x:v>X</x:v>
      </x:c>
      <x:c r="S35" s="230"/>
      <x:c r="T35" s="229"/>
      <x:c r="U35" s="231"/>
      <x:c r="V35" s="232"/>
      <x:c r="W35" s="231"/>
      <x:c r="X35" s="162" t="str">
        <x:f t="shared" si="87"/>
        <x:v/>
      </x:c>
      <x:c r="Y35" s="227"/>
      <x:c r="Z35" s="494" t="str">
        <x:f t="shared" si="88"/>
        <x:v/>
      </x:c>
      <x:c r="AA35" s="494" t="str">
        <x:f t="shared" si="89"/>
        <x:v/>
      </x:c>
      <x:c r="AC35" s="494" t="str">
        <x:f t="shared" si="90"/>
        <x:v/>
      </x:c>
      <x:c r="AD35" s="494" t="str">
        <x:f t="shared" si="91"/>
        <x:v/>
      </x:c>
      <x:c r="AF35" s="374" t="str">
        <x:f>IF(AI35="","",IF($X35="도비","-",CONCATENATE(AI35,"-",COUNTIF($AI$7:AI35,AI35))))</x:f>
        <x:v/>
      </x:c>
      <x:c r="AG35" s="374" t="str">
        <x:f t="shared" si="92"/>
        <x:v/>
      </x:c>
      <x:c r="AI35" s="374" t="str">
        <x:f t="array" ref="AI35:AI35">IF(OR(D35="",B35="직접입력",C35="직접입력"),"",INDEX(구분표!$I$2:$I$336,MATCH(1,(구분표!$G$2:$G$336='4. 특입'!B35)*(구분표!$E$2:$E$336='4. 특입'!C35)*(구분표!$F$2:$F$336='4. 특입'!D35),0)))</x:f>
        <x:v/>
      </x:c>
      <x:c r="AJ35" s="228"/>
      <x:c r="AK35" s="472" t="str">
        <x:f>IF($AF35="","",IF($AF35="-",0,SUMIFS('4. 특출'!$AB$6:$AB$2000,'4. 특출'!$AJ$6:$AJ$2000,$AF35)))</x:f>
        <x:v/>
      </x:c>
      <x:c r="AL35" s="377" t="str">
        <x:f>IF($AF35="","",IF($AF35="-",0,COUNTIF('4. 특출'!$AJ$6:$AJ$2000,$AF35)))</x:f>
        <x:v/>
      </x:c>
      <x:c r="AM35" s="374" t="str">
        <x:f t="shared" si="93"/>
        <x:v/>
      </x:c>
      <x:c r="AN35" s="228"/>
      <x:c r="AO35" s="472" t="str">
        <x:f>IF($AF35="","",IF($AF35="-",0,SUMIFS('4. 특출'!$AF$6:$AF$2000,'4. 특출'!$AJ$6:$AJ$2000,$AF35)))</x:f>
        <x:v/>
      </x:c>
      <x:c r="AP35" s="377" t="str">
        <x:f>IF($AF35="","",IF($AF35="-",0,COUNTIF('4. 특출'!$AJ$6:$AJ$2000,$AF35)))</x:f>
        <x:v/>
      </x:c>
      <x:c r="AQ35" s="374" t="str">
        <x:f t="shared" si="94"/>
        <x:v/>
      </x:c>
    </x:row>
    <x:row r="36" spans="1:43" s="165" customFormat="1" ht="69.950000000000003" customHeight="1">
      <x:c r="A36" s="155" t="str">
        <x:f>IF(D36="","",COUNTA($C$7:C36)-COUNTBLANK($C$7:C36)+6)</x:f>
        <x:v/>
      </x:c>
      <x:c r="B36" s="156" t="str">
        <x: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x:f>
        <x:v/>
      </x:c>
      <x:c r="C36" s="156" t="str">
        <x:f>IF(D36="","",IF(OR(D36="교육지원과"),"소방재난본부",VLOOKUP(D36,구분표!$A$3:$C$258,3,)))</x:f>
        <x:v/>
      </x:c>
      <x:c r="D36" s="226"/>
      <x:c r="E36" s="213"/>
      <x:c r="F36" s="388" t="str">
        <x:f t="shared" si="95"/>
        <x:v/>
      </x:c>
      <x:c r="G36" s="388" t="str">
        <x:f t="shared" si="95"/>
        <x:v/>
      </x:c>
      <x:c r="H36" s="214"/>
      <x:c r="I36" s="156" t="str">
        <x:f>IF(H36="","",VLOOKUP($H36,구분표!$O$3:$P$168,2,FALSE))</x:f>
        <x:v/>
      </x:c>
      <x:c r="J36" s="215"/>
      <x:c r="K36" s="459" t="str">
        <x:f t="shared" si="96"/>
        <x:v/>
      </x:c>
      <x:c r="L36" s="459" t="str">
        <x:f t="shared" si="97"/>
        <x:v/>
      </x:c>
      <x:c r="M36" s="461" t="str">
        <x:f t="shared" si="83"/>
        <x:v/>
      </x:c>
      <x:c r="N36" s="460"/>
      <x:c r="O36" s="461">
        <x:f t="shared" si="84"/>
        <x:v>0</x:v>
      </x:c>
      <x:c r="P36" s="462"/>
      <x:c r="Q36" s="463">
        <x:f t="shared" si="85"/>
        <x:v>0</x:v>
      </x:c>
      <x:c r="R36" s="162" t="str">
        <x:f t="shared" si="86"/>
        <x:v>X</x:v>
      </x:c>
      <x:c r="S36" s="230"/>
      <x:c r="T36" s="229"/>
      <x:c r="U36" s="231"/>
      <x:c r="V36" s="232"/>
      <x:c r="W36" s="231"/>
      <x:c r="X36" s="162" t="str">
        <x:f t="shared" si="87"/>
        <x:v/>
      </x:c>
      <x:c r="Y36" s="227"/>
      <x:c r="Z36" s="494" t="str">
        <x:f t="shared" si="88"/>
        <x:v/>
      </x:c>
      <x:c r="AA36" s="494" t="str">
        <x:f t="shared" si="89"/>
        <x:v/>
      </x:c>
      <x:c r="AC36" s="494" t="str">
        <x:f t="shared" si="90"/>
        <x:v/>
      </x:c>
      <x:c r="AD36" s="494" t="str">
        <x:f t="shared" si="91"/>
        <x:v/>
      </x:c>
      <x:c r="AF36" s="374" t="str">
        <x:f>IF(AI36="","",IF($X36="도비","-",CONCATENATE(AI36,"-",COUNTIF($AI$7:AI36,AI36))))</x:f>
        <x:v/>
      </x:c>
      <x:c r="AG36" s="374" t="str">
        <x:f t="shared" si="92"/>
        <x:v/>
      </x:c>
      <x:c r="AI36" s="374" t="str">
        <x:f t="array" ref="AI36:AI36">IF(OR(D36="",B36="직접입력",C36="직접입력"),"",INDEX(구분표!$I$2:$I$336,MATCH(1,(구분표!$G$2:$G$336='4. 특입'!B36)*(구분표!$E$2:$E$336='4. 특입'!C36)*(구분표!$F$2:$F$336='4. 특입'!D36),0)))</x:f>
        <x:v/>
      </x:c>
      <x:c r="AJ36" s="228"/>
      <x:c r="AK36" s="472" t="str">
        <x:f>IF($AF36="","",IF($AF36="-",0,SUMIFS('4. 특출'!$AB$6:$AB$2000,'4. 특출'!$AJ$6:$AJ$2000,$AF36)))</x:f>
        <x:v/>
      </x:c>
      <x:c r="AL36" s="377" t="str">
        <x:f>IF($AF36="","",IF($AF36="-",0,COUNTIF('4. 특출'!$AJ$6:$AJ$2000,$AF36)))</x:f>
        <x:v/>
      </x:c>
      <x:c r="AM36" s="374" t="str">
        <x:f t="shared" si="93"/>
        <x:v/>
      </x:c>
      <x:c r="AN36" s="228"/>
      <x:c r="AO36" s="472" t="str">
        <x:f>IF($AF36="","",IF($AF36="-",0,SUMIFS('4. 특출'!$AF$6:$AF$2000,'4. 특출'!$AJ$6:$AJ$2000,$AF36)))</x:f>
        <x:v/>
      </x:c>
      <x:c r="AP36" s="377" t="str">
        <x:f>IF($AF36="","",IF($AF36="-",0,COUNTIF('4. 특출'!$AJ$6:$AJ$2000,$AF36)))</x:f>
        <x:v/>
      </x:c>
      <x:c r="AQ36" s="374" t="str">
        <x:f t="shared" si="94"/>
        <x:v/>
      </x:c>
    </x:row>
    <x:row r="37" spans="1:43" ht="69.950000000000003" customHeight="1">
      <x:c r="A37" s="171"/>
      <x:c r="B37" s="888" t="s">
        <x:v>1021</x:v>
      </x:c>
      <x:c r="C37" s="888"/>
      <x:c r="D37" s="888"/>
      <x:c r="E37" s="888"/>
      <x:c r="F37" s="888"/>
      <x:c r="G37" s="888"/>
      <x:c r="H37" s="172"/>
      <x:c r="I37" s="172"/>
      <x:c r="J37" s="349" t="str">
        <x:f>SUBTOTAL(3,J38:J41)&amp;"건"</x:f>
        <x:v>3건</x:v>
      </x:c>
      <x:c r="K37" s="458">
        <x:f t="shared" ref="K37:Q37" si="98">SUBTOTAL(9,K38:K41)</x:f>
        <x:v>66558875</x:v>
      </x:c>
      <x:c r="L37" s="458">
        <x:f t="shared" si="98"/>
        <x:v>8115120</x:v>
      </x:c>
      <x:c r="M37" s="458">
        <x:f t="shared" si="98"/>
        <x:v>74673995</x:v>
      </x:c>
      <x:c r="N37" s="458">
        <x:f t="shared" si="98"/>
        <x:v>-1669500</x:v>
      </x:c>
      <x:c r="O37" s="458">
        <x:f t="shared" si="98"/>
        <x:v>73004495</x:v>
      </x:c>
      <x:c r="P37" s="458">
        <x:f t="shared" si="98"/>
        <x:v>0</x:v>
      </x:c>
      <x:c r="Q37" s="458">
        <x:f t="shared" si="98"/>
        <x:v>74673995</x:v>
      </x:c>
      <x:c r="R37" s="171"/>
      <x:c r="S37" s="171"/>
      <x:c r="T37" s="171"/>
      <x:c r="U37" s="171"/>
      <x:c r="V37" s="171"/>
      <x:c r="W37" s="171"/>
      <x:c r="X37" s="173"/>
      <x:c r="Y37" s="43"/>
      <x:c r="Z37" s="458">
        <x:f>SUBTOTAL(9,Z38:Z41)</x:f>
        <x:v>-982000</x:v>
      </x:c>
      <x:c r="AA37" s="458">
        <x:f>SUBTOTAL(9,AA38:AA41)</x:f>
        <x:v>-687500</x:v>
      </x:c>
      <x:c r="AB37" s="44"/>
      <x:c r="AC37" s="458">
        <x:f>SUBTOTAL(9,AC38:AC41)</x:f>
        <x:v>0</x:v>
      </x:c>
      <x:c r="AD37" s="458">
        <x:f>SUBTOTAL(9,AD38:AD41)</x:f>
        <x:v>0</x:v>
      </x:c>
      <x:c r="AE37" s="44"/>
      <x:c r="AF37" s="171"/>
      <x:c r="AG37" s="173"/>
      <x:c r="AH37" s="44"/>
      <x:c r="AI37" s="173"/>
      <x:c r="AJ37" s="44"/>
      <x:c r="AK37" s="458">
        <x:f>SUBTOTAL(9,AK38:AK41)</x:f>
        <x:v>0</x:v>
      </x:c>
      <x:c r="AL37" s="458">
        <x:f>SUBTOTAL(9,AL38:AL41)</x:f>
        <x:v>0</x:v>
      </x:c>
      <x:c r="AM37" s="555" t="str">
        <x:f>IF(COUNTIF(AM38:AM41,"@@")&gt;0,"@@","OK")</x:f>
        <x:v>@@</x:v>
      </x:c>
      <x:c r="AN37" s="44"/>
      <x:c r="AO37" s="458">
        <x:f>SUBTOTAL(9,AO38:AO41)</x:f>
        <x:v>0</x:v>
      </x:c>
      <x:c r="AP37" s="458">
        <x:f>SUBTOTAL(9,AP38:AP41)</x:f>
        <x:v>0</x:v>
      </x:c>
      <x:c r="AQ37" s="555" t="str">
        <x:f>IF(COUNTIF(AQ38:AQ41,"@@")&gt;0,"@@","OK")</x:f>
        <x:v>OK</x:v>
      </x:c>
    </x:row>
    <x:row r="38" spans="1:43" s="165" customFormat="1" ht="69.950000000000003" customHeight="1">
      <x:c r="A38" s="155">
        <x:f>IF(D38="","",COUNTA($C$7:C38)-COUNTBLANK($C$7:C38)+7)</x:f>
        <x:v>1</x:v>
      </x:c>
      <x:c r="B38" s="156" t="str">
        <x: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x:f>
        <x:v>도시환경위원회</x:v>
      </x:c>
      <x:c r="C38" s="156" t="str">
        <x:f>IF(D38="","",IF(OR(D38="교육지원과"),"소방재난본부",VLOOKUP(D38,구분표!$A$3:$C$258,3,)))</x:f>
        <x:v>기후환경에너지국</x:v>
      </x:c>
      <x:c r="D38" s="226" t="s">
        <x:v>2024</x:v>
      </x:c>
      <x:c r="E38" s="213" t="s">
        <x:v>414</x:v>
      </x:c>
      <x:c r="F38" s="388">
        <x:v>1015</x:v>
      </x:c>
      <x:c r="G38" s="388">
        <x:v>251</x:v>
      </x:c>
      <x:c r="H38" s="214" t="s">
        <x:v>774</x:v>
      </x:c>
      <x:c r="I38" s="156" t="str">
        <x:f>IF(H38="","",VLOOKUP($H38,구분표!$O$3:$P$168,2,FALSE))</x:f>
        <x:v>국고보조금</x:v>
      </x:c>
      <x:c r="J38" s="215" t="s">
        <x:v>1698</x:v>
      </x:c>
      <x:c r="K38" s="459">
        <x:v>1522000</x:v>
      </x:c>
      <x:c r="L38" s="459">
        <x:v>-1457000</x:v>
      </x:c>
      <x:c r="M38" s="461">
        <x:f t="shared" ref="M38:M41" si="99">IF($E38="","",SUM(K38:L38))</x:f>
        <x:v>65000</x:v>
      </x:c>
      <x:c r="N38" s="460">
        <x:v>-65000</x:v>
      </x:c>
      <x:c r="O38" s="461">
        <x:f t="shared" ref="O38:O41" si="100">SUM(M38:N38)</x:f>
        <x:v>0</x:v>
      </x:c>
      <x:c r="P38" s="462"/>
      <x:c r="Q38" s="463">
        <x:f t="shared" ref="Q38:Q41" si="101">SUM(M38,P38)</x:f>
        <x:v>65000</x:v>
      </x:c>
      <x:c r="R38" s="162" t="str">
        <x:f t="shared" ref="R38:R41" si="102">IF(AND((O38=0),(Q38&gt;0)),"O",IF(AND((N38&lt;0),(O38-Q38&lt;0)),"O","X"))</x:f>
        <x:v>O</x:v>
      </x:c>
      <x:c r="S38" s="230"/>
      <x:c r="T38" s="229" t="s">
        <x:v>1613</x:v>
      </x:c>
      <x:c r="U38" s="231"/>
      <x:c r="V38" s="232"/>
      <x:c r="W38" s="231"/>
      <x:c r="X38" s="162" t="str">
        <x:f t="shared" ref="X38:X41" si="103">IF($H38="","",IF(OR($H38="511-01",$H38="511-02",$H38="511-03",$H38="311-02",$H38="311-04",$H38="321-01"),"국비","도비"))</x:f>
        <x:v>국비</x:v>
      </x:c>
      <x:c r="Y38" s="227"/>
      <x:c r="Z38" s="494">
        <x:f t="shared" ref="Z38:Z41" si="104">IF($X38="","",IF($X38="국비",$N38,0))</x:f>
        <x:v>-65000</x:v>
      </x:c>
      <x:c r="AA38" s="494">
        <x:f t="shared" ref="AA38:AA41" si="105">IF($X38="","",IF($X38="도비",$N38,0))</x:f>
        <x:v>0</x:v>
      </x:c>
      <x:c r="AC38" s="494">
        <x:f t="shared" ref="AC38:AC41" si="106">IF($X38="","",IF($X38="국비",$P38,0))</x:f>
        <x:v>0</x:v>
      </x:c>
      <x:c r="AD38" s="494">
        <x:f t="shared" ref="AD38:AD41" si="107">IF($X38="","",IF($X38="도비",$P38,0))</x:f>
        <x:v>0</x:v>
      </x:c>
      <x:c r="AF38" s="374" t="str">
        <x:f>IF(AI38="","",IF($X38="도비","-",CONCATENATE(AI38,"-",COUNTIF($AI$7:AI38,AI38))))</x:f>
        <x:v>30407-1</x:v>
      </x:c>
      <x:c r="AG38" s="374" t="str">
        <x:f t="shared" ref="AG38:AG41" si="108">IF($H38="","",IF($H38="511-01","국비",IF($H38="511-02","균특",IF($H38="511-03","기금",IF($H38="311-02","특교",IF($H38="311-04","소교",IF($H38="321-01","소멸","도비")))))))</x:f>
        <x:v>국비</x:v>
      </x:c>
      <x:c r="AI38" s="374" t="str">
        <x:f t="array" ref="AI38:AI38">IF(OR(D38="",B38="직접입력",C38="직접입력"),"",INDEX(구분표!$I$2:$I$336,MATCH(1,(구분표!$G$2:$G$336='4. 특입'!B38)*(구분표!$E$2:$E$336='4. 특입'!C38)*(구분표!$F$2:$F$336='4. 특입'!D38),0)))</x:f>
        <x:v>30407</x:v>
      </x:c>
      <x:c r="AJ38" s="228"/>
      <x:c r="AK38" s="472">
        <x:f>IF($AF38="","",IF($AF38="-",0,SUMIFS('4. 특출'!$AB$6:$AB$2000,'4. 특출'!$AJ$6:$AJ$2000,$AF38)))</x:f>
        <x:v>0</x:v>
      </x:c>
      <x:c r="AL38" s="377">
        <x:f>IF($AF38="","",IF($AF38="-",0,COUNTIF('4. 특출'!$AJ$6:$AJ$2000,$AF38)))</x:f>
        <x:v>0</x:v>
      </x:c>
      <x:c r="AM38" s="374" t="str">
        <x:f t="shared" ref="AM38:AM41" si="109">IF($AF38="","",IF($Z38=$AK38,"OK","@@"))</x:f>
        <x:v>@@</x:v>
      </x:c>
      <x:c r="AN38" s="228"/>
      <x:c r="AO38" s="472">
        <x:f>IF($AF38="","",IF($AF38="-",0,SUMIFS('4. 특출'!$AF$6:$AF$2000,'4. 특출'!$AJ$6:$AJ$2000,$AF38)))</x:f>
        <x:v>0</x:v>
      </x:c>
      <x:c r="AP38" s="377">
        <x:f>IF($AF38="","",IF($AF38="-",0,COUNTIF('4. 특출'!$AJ$6:$AJ$2000,$AF38)))</x:f>
        <x:v>0</x:v>
      </x:c>
      <x:c r="AQ38" s="374" t="str">
        <x:f t="shared" ref="AQ38:AQ41" si="110">IF($AF38="","",IF($AC38=$AO38,"OK","@@"))</x:f>
        <x:v>OK</x:v>
      </x:c>
    </x:row>
    <x:row r="39" spans="1:43" s="165" customFormat="1" ht="69.950000000000003" customHeight="1">
      <x:c r="A39" s="155">
        <x:f>IF(D39="","",COUNTA($C$7:C39)-COUNTBLANK($C$7:C39)+7)</x:f>
        <x:v>2</x:v>
      </x:c>
      <x:c r="B39" s="156" t="str">
        <x: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x:f>
        <x:v>도시환경위원회</x:v>
      </x:c>
      <x:c r="C39" s="156" t="str">
        <x:f>IF(D39="","",IF(OR(D39="교육지원과"),"소방재난본부",VLOOKUP(D39,구분표!$A$3:$C$258,3,)))</x:f>
        <x:v>기후환경에너지국</x:v>
      </x:c>
      <x:c r="D39" s="226" t="s">
        <x:v>2024</x:v>
      </x:c>
      <x:c r="E39" s="213" t="s">
        <x:v>414</x:v>
      </x:c>
      <x:c r="F39" s="388">
        <x:v>1015</x:v>
      </x:c>
      <x:c r="G39" s="388">
        <x:v>251</x:v>
      </x:c>
      <x:c r="H39" s="214" t="s">
        <x:v>774</x:v>
      </x:c>
      <x:c r="I39" s="156" t="str">
        <x:f>IF(H39="","",VLOOKUP($H39,구분표!$O$3:$P$168,2,FALSE))</x:f>
        <x:v>국고보조금</x:v>
      </x:c>
      <x:c r="J39" s="215" t="s">
        <x:v>1315</x:v>
      </x:c>
      <x:c r="K39" s="459">
        <x:v>53305000</x:v>
      </x:c>
      <x:c r="L39" s="459">
        <x:v>9108000</x:v>
      </x:c>
      <x:c r="M39" s="461">
        <x:f t="shared" si="99"/>
        <x:v>62413000</x:v>
      </x:c>
      <x:c r="N39" s="460">
        <x:v>-917000</x:v>
      </x:c>
      <x:c r="O39" s="461">
        <x:f t="shared" si="100"/>
        <x:v>61496000</x:v>
      </x:c>
      <x:c r="P39" s="462"/>
      <x:c r="Q39" s="463">
        <x:f t="shared" si="101"/>
        <x:v>62413000</x:v>
      </x:c>
      <x:c r="R39" s="162" t="str">
        <x:f t="shared" si="102"/>
        <x:v>O</x:v>
      </x:c>
      <x:c r="S39" s="230"/>
      <x:c r="T39" s="229" t="s">
        <x:v>1613</x:v>
      </x:c>
      <x:c r="U39" s="231"/>
      <x:c r="V39" s="232"/>
      <x:c r="W39" s="231"/>
      <x:c r="X39" s="162" t="str">
        <x:f t="shared" si="103"/>
        <x:v>국비</x:v>
      </x:c>
      <x:c r="Y39" s="227"/>
      <x:c r="Z39" s="494">
        <x:f t="shared" si="104"/>
        <x:v>-917000</x:v>
      </x:c>
      <x:c r="AA39" s="494">
        <x:f t="shared" si="105"/>
        <x:v>0</x:v>
      </x:c>
      <x:c r="AC39" s="494">
        <x:f t="shared" si="106"/>
        <x:v>0</x:v>
      </x:c>
      <x:c r="AD39" s="494">
        <x:f t="shared" si="107"/>
        <x:v>0</x:v>
      </x:c>
      <x:c r="AF39" s="374" t="str">
        <x:f>IF(AI39="","",IF($X39="도비","-",CONCATENATE(AI39,"-",COUNTIF($AI$7:AI39,AI39))))</x:f>
        <x:v>30407-2</x:v>
      </x:c>
      <x:c r="AG39" s="374" t="str">
        <x:f t="shared" si="108"/>
        <x:v>국비</x:v>
      </x:c>
      <x:c r="AI39" s="374" t="str">
        <x:f t="array" ref="AI39:AI39">IF(OR(D39="",B39="직접입력",C39="직접입력"),"",INDEX(구분표!$I$2:$I$336,MATCH(1,(구분표!$G$2:$G$336='4. 특입'!B39)*(구분표!$E$2:$E$336='4. 특입'!C39)*(구분표!$F$2:$F$336='4. 특입'!D39),0)))</x:f>
        <x:v>30407</x:v>
      </x:c>
      <x:c r="AJ39" s="228"/>
      <x:c r="AK39" s="472">
        <x:f>IF($AF39="","",IF($AF39="-",0,SUMIFS('4. 특출'!$AB$6:$AB$2000,'4. 특출'!$AJ$6:$AJ$2000,$AF39)))</x:f>
        <x:v>0</x:v>
      </x:c>
      <x:c r="AL39" s="377">
        <x:f>IF($AF39="","",IF($AF39="-",0,COUNTIF('4. 특출'!$AJ$6:$AJ$2000,$AF39)))</x:f>
        <x:v>0</x:v>
      </x:c>
      <x:c r="AM39" s="374" t="str">
        <x:f t="shared" si="109"/>
        <x:v>@@</x:v>
      </x:c>
      <x:c r="AN39" s="228"/>
      <x:c r="AO39" s="472">
        <x:f>IF($AF39="","",IF($AF39="-",0,SUMIFS('4. 특출'!$AF$6:$AF$2000,'4. 특출'!$AJ$6:$AJ$2000,$AF39)))</x:f>
        <x:v>0</x:v>
      </x:c>
      <x:c r="AP39" s="377">
        <x:f>IF($AF39="","",IF($AF39="-",0,COUNTIF('4. 특출'!$AJ$6:$AJ$2000,$AF39)))</x:f>
        <x:v>0</x:v>
      </x:c>
      <x:c r="AQ39" s="374" t="str">
        <x:f t="shared" si="110"/>
        <x:v>OK</x:v>
      </x:c>
    </x:row>
    <x:row r="40" spans="1:43" s="165" customFormat="1" ht="69.950000000000003" customHeight="1">
      <x:c r="A40" s="155">
        <x:f>IF(D40="","",COUNTA($C$7:C40)-COUNTBLANK($C$7:C40)+7)</x:f>
        <x:v>3</x:v>
      </x:c>
      <x:c r="B40" s="156" t="str">
        <x: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x:f>
        <x:v>도시환경위원회</x:v>
      </x:c>
      <x:c r="C40" s="156" t="str">
        <x:f>IF(D40="","",IF(OR(D40="교육지원과"),"소방재난본부",VLOOKUP(D40,구분표!$A$3:$C$258,3,)))</x:f>
        <x:v>기후환경에너지국</x:v>
      </x:c>
      <x:c r="D40" s="226" t="s">
        <x:v>2024</x:v>
      </x:c>
      <x:c r="E40" s="213" t="s">
        <x:v>414</x:v>
      </x:c>
      <x:c r="F40" s="388">
        <x:v>1016</x:v>
      </x:c>
      <x:c r="G40" s="388">
        <x:v>254</x:v>
      </x:c>
      <x:c r="H40" s="214" t="s">
        <x:v>790</x:v>
      </x:c>
      <x:c r="I40" s="156" t="str">
        <x:f>IF(H40="","",VLOOKUP($H40,구분표!$O$3:$P$168,2,FALSE))</x:f>
        <x:v>기타회계 전입금</x:v>
      </x:c>
      <x:c r="J40" s="215" t="s">
        <x:v>1429</x:v>
      </x:c>
      <x:c r="K40" s="459">
        <x:v>11731875</x:v>
      </x:c>
      <x:c r="L40" s="459">
        <x:v>464120</x:v>
      </x:c>
      <x:c r="M40" s="461">
        <x:f t="shared" si="99"/>
        <x:v>12195995</x:v>
      </x:c>
      <x:c r="N40" s="460">
        <x:v>-687500</x:v>
      </x:c>
      <x:c r="O40" s="461">
        <x:f t="shared" si="100"/>
        <x:v>11508495</x:v>
      </x:c>
      <x:c r="P40" s="462"/>
      <x:c r="Q40" s="463">
        <x:f t="shared" si="101"/>
        <x:v>12195995</x:v>
      </x:c>
      <x:c r="R40" s="162" t="str">
        <x:f t="shared" si="102"/>
        <x:v>O</x:v>
      </x:c>
      <x:c r="S40" s="230"/>
      <x:c r="T40" s="229" t="s">
        <x:v>1613</x:v>
      </x:c>
      <x:c r="U40" s="231"/>
      <x:c r="V40" s="232"/>
      <x:c r="W40" s="231"/>
      <x:c r="X40" s="162" t="str">
        <x:f t="shared" si="103"/>
        <x:v>도비</x:v>
      </x:c>
      <x:c r="Y40" s="227"/>
      <x:c r="Z40" s="494">
        <x:f t="shared" si="104"/>
        <x:v>0</x:v>
      </x:c>
      <x:c r="AA40" s="494">
        <x:f t="shared" si="105"/>
        <x:v>-687500</x:v>
      </x:c>
      <x:c r="AC40" s="494">
        <x:f t="shared" si="106"/>
        <x:v>0</x:v>
      </x:c>
      <x:c r="AD40" s="494">
        <x:f t="shared" si="107"/>
        <x:v>0</x:v>
      </x:c>
      <x:c r="AF40" s="374" t="str">
        <x:f>IF(AI40="","",IF($X40="도비","-",CONCATENATE(AI40,"-",COUNTIF($AI$7:AI40,AI40))))</x:f>
        <x:v>-</x:v>
      </x:c>
      <x:c r="AG40" s="374" t="str">
        <x:f t="shared" si="108"/>
        <x:v>도비</x:v>
      </x:c>
      <x:c r="AI40" s="374" t="str">
        <x:f t="array" ref="AI40:AI40">IF(OR(D40="",B40="직접입력",C40="직접입력"),"",INDEX(구분표!$I$2:$I$336,MATCH(1,(구분표!$G$2:$G$336='4. 특입'!B40)*(구분표!$E$2:$E$336='4. 특입'!C40)*(구분표!$F$2:$F$336='4. 특입'!D40),0)))</x:f>
        <x:v>30407</x:v>
      </x:c>
      <x:c r="AJ40" s="228"/>
      <x:c r="AK40" s="472">
        <x:f>IF($AF40="","",IF($AF40="-",0,SUMIFS('4. 특출'!$AB$6:$AB$2000,'4. 특출'!$AJ$6:$AJ$2000,$AF40)))</x:f>
        <x:v>0</x:v>
      </x:c>
      <x:c r="AL40" s="377">
        <x:f>IF($AF40="","",IF($AF40="-",0,COUNTIF('4. 특출'!$AJ$6:$AJ$2000,$AF40)))</x:f>
        <x:v>0</x:v>
      </x:c>
      <x:c r="AM40" s="374" t="str">
        <x:f t="shared" si="109"/>
        <x:v>OK</x:v>
      </x:c>
      <x:c r="AN40" s="228"/>
      <x:c r="AO40" s="472">
        <x:f>IF($AF40="","",IF($AF40="-",0,SUMIFS('4. 특출'!$AF$6:$AF$2000,'4. 특출'!$AJ$6:$AJ$2000,$AF40)))</x:f>
        <x:v>0</x:v>
      </x:c>
      <x:c r="AP40" s="377">
        <x:f>IF($AF40="","",IF($AF40="-",0,COUNTIF('4. 특출'!$AJ$6:$AJ$2000,$AF40)))</x:f>
        <x:v>0</x:v>
      </x:c>
      <x:c r="AQ40" s="374" t="str">
        <x:f t="shared" si="110"/>
        <x:v>OK</x:v>
      </x:c>
    </x:row>
    <x:row r="41" spans="1:43" s="165" customFormat="1" ht="69.950000000000003" customHeight="1">
      <x:c r="A41" s="155" t="str">
        <x:f>IF(D41="","",COUNTA($C$7:C41)-COUNTBLANK($C$7:C41)+7)</x:f>
        <x:v/>
      </x:c>
      <x:c r="B41" s="156" t="str">
        <x: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x:f>
        <x:v/>
      </x:c>
      <x:c r="C41" s="156" t="str">
        <x:f>IF(D41="","",IF(OR(D41="교육지원과"),"소방재난본부",VLOOKUP(D41,구분표!$A$3:$C$258,3,)))</x:f>
        <x:v/>
      </x:c>
      <x:c r="D41" s="226"/>
      <x:c r="E41" s="213"/>
      <x:c r="F41" s="388" t="str">
        <x:f t="shared" ref="F41:G41" si="111">IF($E41="","",IF($E41="2추","직접입력","-"))</x:f>
        <x:v/>
      </x:c>
      <x:c r="G41" s="388" t="str">
        <x:f t="shared" si="111"/>
        <x:v/>
      </x:c>
      <x:c r="H41" s="214"/>
      <x:c r="I41" s="156" t="str">
        <x:f>IF(H41="","",VLOOKUP($H41,구분표!$O$3:$P$168,2,FALSE))</x:f>
        <x:v/>
      </x:c>
      <x:c r="J41" s="215"/>
      <x:c r="K41" s="459" t="str">
        <x:f>IF($E41="","",IF(OR($E41="2추",$E41="1추",$E41="본예산"),"금액입력","-"))</x:f>
        <x:v/>
      </x:c>
      <x:c r="L41" s="459" t="str">
        <x:f>IF($E41="","",IF($E41="2추","금액입력","-"))</x:f>
        <x:v/>
      </x:c>
      <x:c r="M41" s="461" t="str">
        <x:f t="shared" si="99"/>
        <x:v/>
      </x:c>
      <x:c r="N41" s="460"/>
      <x:c r="O41" s="461">
        <x:f t="shared" si="100"/>
        <x:v>0</x:v>
      </x:c>
      <x:c r="P41" s="462"/>
      <x:c r="Q41" s="463">
        <x:f t="shared" si="101"/>
        <x:v>0</x:v>
      </x:c>
      <x:c r="R41" s="162" t="str">
        <x:f t="shared" si="102"/>
        <x:v>X</x:v>
      </x:c>
      <x:c r="S41" s="230"/>
      <x:c r="T41" s="229"/>
      <x:c r="U41" s="231"/>
      <x:c r="V41" s="232"/>
      <x:c r="W41" s="231"/>
      <x:c r="X41" s="162" t="str">
        <x:f t="shared" si="103"/>
        <x:v/>
      </x:c>
      <x:c r="Y41" s="227"/>
      <x:c r="Z41" s="494" t="str">
        <x:f t="shared" si="104"/>
        <x:v/>
      </x:c>
      <x:c r="AA41" s="494" t="str">
        <x:f t="shared" si="105"/>
        <x:v/>
      </x:c>
      <x:c r="AC41" s="494" t="str">
        <x:f t="shared" si="106"/>
        <x:v/>
      </x:c>
      <x:c r="AD41" s="494" t="str">
        <x:f t="shared" si="107"/>
        <x:v/>
      </x:c>
      <x:c r="AF41" s="374" t="str">
        <x:f>IF(AI41="","",IF($X41="도비","-",CONCATENATE(AI41,"-",COUNTIF($AI$7:AI41,AI41))))</x:f>
        <x:v/>
      </x:c>
      <x:c r="AG41" s="374" t="str">
        <x:f t="shared" si="108"/>
        <x:v/>
      </x:c>
      <x:c r="AI41" s="374" t="str">
        <x:f t="array" ref="AI41:AI41">IF(OR(D41="",B41="직접입력",C41="직접입력"),"",INDEX(구분표!$I$2:$I$336,MATCH(1,(구분표!$G$2:$G$336='4. 특입'!B41)*(구분표!$E$2:$E$336='4. 특입'!C41)*(구분표!$F$2:$F$336='4. 특입'!D41),0)))</x:f>
        <x:v/>
      </x:c>
      <x:c r="AJ41" s="228"/>
      <x:c r="AK41" s="472" t="str">
        <x:f>IF($AF41="","",IF($AF41="-",0,SUMIFS('4. 특출'!$AB$6:$AB$2000,'4. 특출'!$AJ$6:$AJ$2000,$AF41)))</x:f>
        <x:v/>
      </x:c>
      <x:c r="AL41" s="377" t="str">
        <x:f>IF($AF41="","",IF($AF41="-",0,COUNTIF('4. 특출'!$AJ$6:$AJ$2000,$AF41)))</x:f>
        <x:v/>
      </x:c>
      <x:c r="AM41" s="374" t="str">
        <x:f t="shared" si="109"/>
        <x:v/>
      </x:c>
      <x:c r="AN41" s="228"/>
      <x:c r="AO41" s="472" t="str">
        <x:f>IF($AF41="","",IF($AF41="-",0,SUMIFS('4. 특출'!$AF$6:$AF$2000,'4. 특출'!$AJ$6:$AJ$2000,$AF41)))</x:f>
        <x:v/>
      </x:c>
      <x:c r="AP41" s="377" t="str">
        <x:f>IF($AF41="","",IF($AF41="-",0,COUNTIF('4. 특출'!$AJ$6:$AJ$2000,$AF41)))</x:f>
        <x:v/>
      </x:c>
      <x:c r="AQ41" s="374" t="str">
        <x:f t="shared" si="110"/>
        <x:v/>
      </x:c>
    </x:row>
    <x:row r="42" spans="1:43" ht="69.950000000000003" customHeight="1">
      <x:c r="A42" s="171"/>
      <x:c r="B42" s="888" t="s">
        <x:v>869</x:v>
      </x:c>
      <x:c r="C42" s="888"/>
      <x:c r="D42" s="888"/>
      <x:c r="E42" s="888"/>
      <x:c r="F42" s="888"/>
      <x:c r="G42" s="888"/>
      <x:c r="H42" s="172"/>
      <x:c r="I42" s="172"/>
      <x:c r="J42" s="349" t="str">
        <x:f>SUBTOTAL(3,J43:J46)&amp;"건"</x:f>
        <x:v>0건</x:v>
      </x:c>
      <x:c r="K42" s="458">
        <x:f t="shared" ref="K42:Q42" si="112">SUBTOTAL(9,K43:K46)</x:f>
        <x:v>0</x:v>
      </x:c>
      <x:c r="L42" s="458">
        <x:f t="shared" si="112"/>
        <x:v>0</x:v>
      </x:c>
      <x:c r="M42" s="458">
        <x:f t="shared" si="112"/>
        <x:v>0</x:v>
      </x:c>
      <x:c r="N42" s="458">
        <x:f t="shared" si="112"/>
        <x:v>0</x:v>
      </x:c>
      <x:c r="O42" s="458">
        <x:f t="shared" si="112"/>
        <x:v>0</x:v>
      </x:c>
      <x:c r="P42" s="458">
        <x:f t="shared" si="112"/>
        <x:v>0</x:v>
      </x:c>
      <x:c r="Q42" s="458">
        <x:f t="shared" si="112"/>
        <x:v>0</x:v>
      </x:c>
      <x:c r="R42" s="171"/>
      <x:c r="S42" s="171"/>
      <x:c r="T42" s="171"/>
      <x:c r="U42" s="171"/>
      <x:c r="V42" s="171"/>
      <x:c r="W42" s="171"/>
      <x:c r="X42" s="173"/>
      <x:c r="Y42" s="43"/>
      <x:c r="Z42" s="458">
        <x:f>SUBTOTAL(9,Z43:Z46)</x:f>
        <x:v>0</x:v>
      </x:c>
      <x:c r="AA42" s="458">
        <x:f>SUBTOTAL(9,AA43:AA46)</x:f>
        <x:v>0</x:v>
      </x:c>
      <x:c r="AB42" s="44"/>
      <x:c r="AC42" s="458">
        <x:f>SUBTOTAL(9,AC43:AC46)</x:f>
        <x:v>0</x:v>
      </x:c>
      <x:c r="AD42" s="458">
        <x:f>SUBTOTAL(9,AD43:AD46)</x:f>
        <x:v>0</x:v>
      </x:c>
      <x:c r="AE42" s="44"/>
      <x:c r="AF42" s="171"/>
      <x:c r="AG42" s="173"/>
      <x:c r="AH42" s="44"/>
      <x:c r="AI42" s="173"/>
      <x:c r="AJ42" s="44"/>
      <x:c r="AK42" s="458">
        <x:f>SUBTOTAL(9,AK43:AK46)</x:f>
        <x:v>0</x:v>
      </x:c>
      <x:c r="AL42" s="458">
        <x:f>SUBTOTAL(9,AL43:AL46)</x:f>
        <x:v>0</x:v>
      </x:c>
      <x:c r="AM42" s="555" t="str">
        <x:f>IF(COUNTIF(AM43:AM46,"@@")&gt;0,"@@","OK")</x:f>
        <x:v>OK</x:v>
      </x:c>
      <x:c r="AN42" s="44"/>
      <x:c r="AO42" s="458">
        <x:f>SUBTOTAL(9,AO43:AO46)</x:f>
        <x:v>0</x:v>
      </x:c>
      <x:c r="AP42" s="458">
        <x:f>SUBTOTAL(9,AP43:AP46)</x:f>
        <x:v>0</x:v>
      </x:c>
      <x:c r="AQ42" s="555" t="str">
        <x:f>IF(COUNTIF(AQ43:AQ46,"@@")&gt;0,"@@","OK")</x:f>
        <x:v>OK</x:v>
      </x:c>
    </x:row>
    <x:row r="43" spans="1:43" s="165" customFormat="1" ht="69.950000000000003" customHeight="1">
      <x:c r="A43" s="155" t="str">
        <x:f>IF(D43="","",COUNTA($C$7:C43)-COUNTBLANK($C$7:C43)+8)</x:f>
        <x:v/>
      </x:c>
      <x:c r="B43" s="156" t="str">
        <x: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x:f>
        <x:v/>
      </x:c>
      <x:c r="C43" s="156" t="str">
        <x:f>IF(D43="","",IF(OR(D43="교육지원과"),"소방재난본부",VLOOKUP(D43,구분표!$A$3:$C$258,3,)))</x:f>
        <x:v/>
      </x:c>
      <x:c r="D43" s="226"/>
      <x:c r="E43" s="213"/>
      <x:c r="F43" s="388" t="str">
        <x:f>IF($E43="","",IF($E43="2추","직접입력","-"))</x:f>
        <x:v/>
      </x:c>
      <x:c r="G43" s="388" t="str">
        <x:f>IF($E43="","",IF($E43="2추","직접입력","-"))</x:f>
        <x:v/>
      </x:c>
      <x:c r="H43" s="214"/>
      <x:c r="I43" s="156" t="str">
        <x:f>IF(H43="","",VLOOKUP($H43,구분표!$O$3:$P$168,2,FALSE))</x:f>
        <x:v/>
      </x:c>
      <x:c r="J43" s="215"/>
      <x:c r="K43" s="459" t="str">
        <x:f>IF($E43="","",IF(OR($E43="2추",$E43="1추",$E43="본예산"),"금액입력","-"))</x:f>
        <x:v/>
      </x:c>
      <x:c r="L43" s="459" t="str">
        <x:f>IF($E43="","",IF($E43="2추","금액입력","-"))</x:f>
        <x:v/>
      </x:c>
      <x:c r="M43" s="461" t="str">
        <x:f t="shared" ref="M43:M46" si="113">IF($E43="","",SUM(K43:L43))</x:f>
        <x:v/>
      </x:c>
      <x:c r="N43" s="460"/>
      <x:c r="O43" s="461">
        <x:f t="shared" ref="O43:O46" si="114">SUM(M43:N43)</x:f>
        <x:v>0</x:v>
      </x:c>
      <x:c r="P43" s="462"/>
      <x:c r="Q43" s="463">
        <x:f t="shared" ref="Q43:Q46" si="115">SUM(M43,P43)</x:f>
        <x:v>0</x:v>
      </x:c>
      <x:c r="R43" s="162" t="str">
        <x:f t="shared" ref="R43:R46" si="116">IF(AND((O43=0),(Q43&gt;0)),"O",IF(AND((N43&lt;0),(O43-Q43&lt;0)),"O","X"))</x:f>
        <x:v>X</x:v>
      </x:c>
      <x:c r="S43" s="230"/>
      <x:c r="T43" s="229"/>
      <x:c r="U43" s="231"/>
      <x:c r="V43" s="232"/>
      <x:c r="W43" s="231"/>
      <x:c r="X43" s="162" t="str">
        <x:f t="shared" ref="X43:X46" si="117">IF($H43="","",IF(OR($H43="511-01",$H43="511-02",$H43="511-03",$H43="311-02",$H43="311-04",$H43="321-01"),"국비","도비"))</x:f>
        <x:v/>
      </x:c>
      <x:c r="Y43" s="227"/>
      <x:c r="Z43" s="494" t="str">
        <x:f t="shared" ref="Z43:Z46" si="118">IF($X43="","",IF($X43="국비",$N43,0))</x:f>
        <x:v/>
      </x:c>
      <x:c r="AA43" s="494" t="str">
        <x:f t="shared" ref="AA43:AA46" si="119">IF($X43="","",IF($X43="도비",$N43,0))</x:f>
        <x:v/>
      </x:c>
      <x:c r="AC43" s="494" t="str">
        <x:f t="shared" ref="AC43:AC46" si="120">IF($X43="","",IF($X43="국비",$P43,0))</x:f>
        <x:v/>
      </x:c>
      <x:c r="AD43" s="494" t="str">
        <x:f t="shared" ref="AD43:AD46" si="121">IF($X43="","",IF($X43="도비",$P43,0))</x:f>
        <x:v/>
      </x:c>
      <x:c r="AF43" s="374" t="str">
        <x:f>IF(AI43="","",IF($X43="도비","-",CONCATENATE(AI43,"-",COUNTIF($AI$7:AI43,AI43))))</x:f>
        <x:v/>
      </x:c>
      <x:c r="AG43" s="374" t="str">
        <x:f t="shared" ref="AG43:AG46" si="122">IF($H43="","",IF($H43="511-01","국비",IF($H43="511-02","균특",IF($H43="511-03","기금",IF($H43="311-02","특교",IF($H43="311-04","소교",IF($H43="321-01","소멸","도비")))))))</x:f>
        <x:v/>
      </x:c>
      <x:c r="AI43" s="374" t="str">
        <x:f t="array" ref="AI43:AI43">IF(OR(D43="",B43="직접입력",C43="직접입력"),"",INDEX(구분표!$I$2:$I$336,MATCH(1,(구분표!$G$2:$G$336='4. 특입'!B43)*(구분표!$E$2:$E$336='4. 특입'!C43)*(구분표!$F$2:$F$336='4. 특입'!D43),0)))</x:f>
        <x:v/>
      </x:c>
      <x:c r="AJ43" s="228"/>
      <x:c r="AK43" s="472" t="str">
        <x:f>IF($AF43="","",IF($AF43="-",0,SUMIFS('4. 특출'!$AB$6:$AB$2000,'4. 특출'!$AJ$6:$AJ$2000,$AF43)))</x:f>
        <x:v/>
      </x:c>
      <x:c r="AL43" s="377" t="str">
        <x:f>IF($AF43="","",IF($AF43="-",0,COUNTIF('4. 특출'!$AJ$6:$AJ$2000,$AF43)))</x:f>
        <x:v/>
      </x:c>
      <x:c r="AM43" s="374" t="str">
        <x:f t="shared" ref="AM43:AM46" si="123">IF($AF43="","",IF($Z43=$AK43,"OK","@@"))</x:f>
        <x:v/>
      </x:c>
      <x:c r="AN43" s="228"/>
      <x:c r="AO43" s="472" t="str">
        <x:f>IF($AF43="","",IF($AF43="-",0,SUMIFS('4. 특출'!$AF$6:$AF$2000,'4. 특출'!$AJ$6:$AJ$2000,$AF43)))</x:f>
        <x:v/>
      </x:c>
      <x:c r="AP43" s="377" t="str">
        <x:f>IF($AF43="","",IF($AF43="-",0,COUNTIF('4. 특출'!$AJ$6:$AJ$2000,$AF43)))</x:f>
        <x:v/>
      </x:c>
      <x:c r="AQ43" s="374" t="str">
        <x:f t="shared" ref="AQ43:AQ46" si="124">IF($AF43="","",IF($AC43=$AO43,"OK","@@"))</x:f>
        <x:v/>
      </x:c>
    </x:row>
    <x:row r="44" spans="1:43" s="165" customFormat="1" ht="69.950000000000003" customHeight="1">
      <x:c r="A44" s="155" t="str">
        <x:f>IF(D44="","",COUNTA($C$7:C44)-COUNTBLANK($C$7:C44)+8)</x:f>
        <x:v/>
      </x:c>
      <x:c r="B44" s="156" t="str">
        <x: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x:f>
        <x:v/>
      </x:c>
      <x:c r="C44" s="156" t="str">
        <x:f>IF(D44="","",IF(OR(D44="교육지원과"),"소방재난본부",VLOOKUP(D44,구분표!$A$3:$C$258,3,)))</x:f>
        <x:v/>
      </x:c>
      <x:c r="D44" s="226"/>
      <x:c r="E44" s="213"/>
      <x:c r="F44" s="388" t="str">
        <x:f t="shared" ref="F44:G46" si="125">IF($E44="","",IF($E44="2추","직접입력","-"))</x:f>
        <x:v/>
      </x:c>
      <x:c r="G44" s="388" t="str">
        <x:f t="shared" si="125"/>
        <x:v/>
      </x:c>
      <x:c r="H44" s="214"/>
      <x:c r="I44" s="156" t="str">
        <x:f>IF(H44="","",VLOOKUP($H44,구분표!$O$3:$P$168,2,FALSE))</x:f>
        <x:v/>
      </x:c>
      <x:c r="J44" s="215"/>
      <x:c r="K44" s="459" t="str">
        <x:f t="shared" ref="K44:K46" si="126">IF($E44="","",IF(OR($E44="2추",$E44="1추",$E44="본예산"),"금액입력","-"))</x:f>
        <x:v/>
      </x:c>
      <x:c r="L44" s="459" t="str">
        <x:f t="shared" ref="L44:L46" si="127">IF($E44="","",IF($E44="2추","금액입력","-"))</x:f>
        <x:v/>
      </x:c>
      <x:c r="M44" s="461" t="str">
        <x:f t="shared" si="113"/>
        <x:v/>
      </x:c>
      <x:c r="N44" s="460"/>
      <x:c r="O44" s="461">
        <x:f t="shared" si="114"/>
        <x:v>0</x:v>
      </x:c>
      <x:c r="P44" s="462"/>
      <x:c r="Q44" s="463">
        <x:f t="shared" si="115"/>
        <x:v>0</x:v>
      </x:c>
      <x:c r="R44" s="162" t="str">
        <x:f t="shared" si="116"/>
        <x:v>X</x:v>
      </x:c>
      <x:c r="S44" s="230"/>
      <x:c r="T44" s="229"/>
      <x:c r="U44" s="231"/>
      <x:c r="V44" s="232"/>
      <x:c r="W44" s="231"/>
      <x:c r="X44" s="162" t="str">
        <x:f t="shared" si="117"/>
        <x:v/>
      </x:c>
      <x:c r="Y44" s="227"/>
      <x:c r="Z44" s="494" t="str">
        <x:f t="shared" si="118"/>
        <x:v/>
      </x:c>
      <x:c r="AA44" s="494" t="str">
        <x:f t="shared" si="119"/>
        <x:v/>
      </x:c>
      <x:c r="AC44" s="494" t="str">
        <x:f t="shared" si="120"/>
        <x:v/>
      </x:c>
      <x:c r="AD44" s="494" t="str">
        <x:f t="shared" si="121"/>
        <x:v/>
      </x:c>
      <x:c r="AF44" s="374" t="str">
        <x:f>IF(AI44="","",IF($X44="도비","-",CONCATENATE(AI44,"-",COUNTIF($AI$7:AI44,AI44))))</x:f>
        <x:v/>
      </x:c>
      <x:c r="AG44" s="374" t="str">
        <x:f t="shared" si="122"/>
        <x:v/>
      </x:c>
      <x:c r="AI44" s="374" t="str">
        <x:f t="array" ref="AI44:AI44">IF(OR(D44="",B44="직접입력",C44="직접입력"),"",INDEX(구분표!$I$2:$I$336,MATCH(1,(구분표!$G$2:$G$336='4. 특입'!B44)*(구분표!$E$2:$E$336='4. 특입'!C44)*(구분표!$F$2:$F$336='4. 특입'!D44),0)))</x:f>
        <x:v/>
      </x:c>
      <x:c r="AJ44" s="228"/>
      <x:c r="AK44" s="472" t="str">
        <x:f>IF($AF44="","",IF($AF44="-",0,SUMIFS('4. 특출'!$AB$6:$AB$2000,'4. 특출'!$AJ$6:$AJ$2000,$AF44)))</x:f>
        <x:v/>
      </x:c>
      <x:c r="AL44" s="377" t="str">
        <x:f>IF($AF44="","",IF($AF44="-",0,COUNTIF('4. 특출'!$AJ$6:$AJ$2000,$AF44)))</x:f>
        <x:v/>
      </x:c>
      <x:c r="AM44" s="374" t="str">
        <x:f t="shared" si="123"/>
        <x:v/>
      </x:c>
      <x:c r="AN44" s="228"/>
      <x:c r="AO44" s="472" t="str">
        <x:f>IF($AF44="","",IF($AF44="-",0,SUMIFS('4. 특출'!$AF$6:$AF$2000,'4. 특출'!$AJ$6:$AJ$2000,$AF44)))</x:f>
        <x:v/>
      </x:c>
      <x:c r="AP44" s="377" t="str">
        <x:f>IF($AF44="","",IF($AF44="-",0,COUNTIF('4. 특출'!$AJ$6:$AJ$2000,$AF44)))</x:f>
        <x:v/>
      </x:c>
      <x:c r="AQ44" s="374" t="str">
        <x:f t="shared" si="124"/>
        <x:v/>
      </x:c>
    </x:row>
    <x:row r="45" spans="1:43" s="165" customFormat="1" ht="69.950000000000003" customHeight="1">
      <x:c r="A45" s="155" t="str">
        <x:f>IF(D45="","",COUNTA($C$7:C45)-COUNTBLANK($C$7:C45)+8)</x:f>
        <x:v/>
      </x:c>
      <x:c r="B45" s="156" t="str">
        <x: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x:f>
        <x:v/>
      </x:c>
      <x:c r="C45" s="156" t="str">
        <x:f>IF(D45="","",IF(OR(D45="교육지원과"),"소방재난본부",VLOOKUP(D45,구분표!$A$3:$C$258,3,)))</x:f>
        <x:v/>
      </x:c>
      <x:c r="D45" s="226"/>
      <x:c r="E45" s="213"/>
      <x:c r="F45" s="388" t="str">
        <x:f t="shared" si="125"/>
        <x:v/>
      </x:c>
      <x:c r="G45" s="388" t="str">
        <x:f t="shared" si="125"/>
        <x:v/>
      </x:c>
      <x:c r="H45" s="214"/>
      <x:c r="I45" s="156" t="str">
        <x:f>IF(H45="","",VLOOKUP($H45,구분표!$O$3:$P$168,2,FALSE))</x:f>
        <x:v/>
      </x:c>
      <x:c r="J45" s="215"/>
      <x:c r="K45" s="459" t="str">
        <x:f t="shared" si="126"/>
        <x:v/>
      </x:c>
      <x:c r="L45" s="459" t="str">
        <x:f t="shared" si="127"/>
        <x:v/>
      </x:c>
      <x:c r="M45" s="461" t="str">
        <x:f t="shared" si="113"/>
        <x:v/>
      </x:c>
      <x:c r="N45" s="460"/>
      <x:c r="O45" s="461">
        <x:f t="shared" si="114"/>
        <x:v>0</x:v>
      </x:c>
      <x:c r="P45" s="462"/>
      <x:c r="Q45" s="463">
        <x:f t="shared" si="115"/>
        <x:v>0</x:v>
      </x:c>
      <x:c r="R45" s="162" t="str">
        <x:f t="shared" si="116"/>
        <x:v>X</x:v>
      </x:c>
      <x:c r="S45" s="230"/>
      <x:c r="T45" s="229"/>
      <x:c r="U45" s="231"/>
      <x:c r="V45" s="232"/>
      <x:c r="W45" s="231"/>
      <x:c r="X45" s="162" t="str">
        <x:f t="shared" si="117"/>
        <x:v/>
      </x:c>
      <x:c r="Y45" s="227"/>
      <x:c r="Z45" s="494" t="str">
        <x:f t="shared" si="118"/>
        <x:v/>
      </x:c>
      <x:c r="AA45" s="494" t="str">
        <x:f t="shared" si="119"/>
        <x:v/>
      </x:c>
      <x:c r="AC45" s="494" t="str">
        <x:f t="shared" si="120"/>
        <x:v/>
      </x:c>
      <x:c r="AD45" s="494" t="str">
        <x:f t="shared" si="121"/>
        <x:v/>
      </x:c>
      <x:c r="AF45" s="374" t="str">
        <x:f>IF(AI45="","",IF($X45="도비","-",CONCATENATE(AI45,"-",COUNTIF($AI$7:AI45,AI45))))</x:f>
        <x:v/>
      </x:c>
      <x:c r="AG45" s="374" t="str">
        <x:f t="shared" si="122"/>
        <x:v/>
      </x:c>
      <x:c r="AI45" s="374" t="str">
        <x:f t="array" ref="AI45:AI45">IF(OR(D45="",B45="직접입력",C45="직접입력"),"",INDEX(구분표!$I$2:$I$336,MATCH(1,(구분표!$G$2:$G$336='4. 특입'!B45)*(구분표!$E$2:$E$336='4. 특입'!C45)*(구분표!$F$2:$F$336='4. 특입'!D45),0)))</x:f>
        <x:v/>
      </x:c>
      <x:c r="AJ45" s="228"/>
      <x:c r="AK45" s="472" t="str">
        <x:f>IF($AF45="","",IF($AF45="-",0,SUMIFS('4. 특출'!$AB$6:$AB$2000,'4. 특출'!$AJ$6:$AJ$2000,$AF45)))</x:f>
        <x:v/>
      </x:c>
      <x:c r="AL45" s="377" t="str">
        <x:f>IF($AF45="","",IF($AF45="-",0,COUNTIF('4. 특출'!$AJ$6:$AJ$2000,$AF45)))</x:f>
        <x:v/>
      </x:c>
      <x:c r="AM45" s="374" t="str">
        <x:f t="shared" si="123"/>
        <x:v/>
      </x:c>
      <x:c r="AN45" s="228"/>
      <x:c r="AO45" s="472" t="str">
        <x:f>IF($AF45="","",IF($AF45="-",0,SUMIFS('4. 특출'!$AF$6:$AF$2000,'4. 특출'!$AJ$6:$AJ$2000,$AF45)))</x:f>
        <x:v/>
      </x:c>
      <x:c r="AP45" s="377" t="str">
        <x:f>IF($AF45="","",IF($AF45="-",0,COUNTIF('4. 특출'!$AJ$6:$AJ$2000,$AF45)))</x:f>
        <x:v/>
      </x:c>
      <x:c r="AQ45" s="374" t="str">
        <x:f t="shared" si="124"/>
        <x:v/>
      </x:c>
    </x:row>
    <x:row r="46" spans="1:43" s="165" customFormat="1" ht="69.950000000000003" customHeight="1">
      <x:c r="A46" s="155" t="str">
        <x:f>IF(D46="","",COUNTA($C$7:C46)-COUNTBLANK($C$7:C46)+8)</x:f>
        <x:v/>
      </x:c>
      <x:c r="B46" s="156" t="str">
        <x: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x:f>
        <x:v/>
      </x:c>
      <x:c r="C46" s="156" t="str">
        <x:f>IF(D46="","",IF(OR(D46="교육지원과"),"소방재난본부",VLOOKUP(D46,구분표!$A$3:$C$258,3,)))</x:f>
        <x:v/>
      </x:c>
      <x:c r="D46" s="226"/>
      <x:c r="E46" s="213"/>
      <x:c r="F46" s="388" t="str">
        <x:f t="shared" si="125"/>
        <x:v/>
      </x:c>
      <x:c r="G46" s="388" t="str">
        <x:f t="shared" si="125"/>
        <x:v/>
      </x:c>
      <x:c r="H46" s="214"/>
      <x:c r="I46" s="156" t="str">
        <x:f>IF(H46="","",VLOOKUP($H46,구분표!$O$3:$P$168,2,FALSE))</x:f>
        <x:v/>
      </x:c>
      <x:c r="J46" s="215"/>
      <x:c r="K46" s="459" t="str">
        <x:f t="shared" si="126"/>
        <x:v/>
      </x:c>
      <x:c r="L46" s="459" t="str">
        <x:f t="shared" si="127"/>
        <x:v/>
      </x:c>
      <x:c r="M46" s="461" t="str">
        <x:f t="shared" si="113"/>
        <x:v/>
      </x:c>
      <x:c r="N46" s="460"/>
      <x:c r="O46" s="461">
        <x:f t="shared" si="114"/>
        <x:v>0</x:v>
      </x:c>
      <x:c r="P46" s="462"/>
      <x:c r="Q46" s="463">
        <x:f t="shared" si="115"/>
        <x:v>0</x:v>
      </x:c>
      <x:c r="R46" s="162" t="str">
        <x:f t="shared" si="116"/>
        <x:v>X</x:v>
      </x:c>
      <x:c r="S46" s="230"/>
      <x:c r="T46" s="229"/>
      <x:c r="U46" s="231"/>
      <x:c r="V46" s="232"/>
      <x:c r="W46" s="231"/>
      <x:c r="X46" s="162" t="str">
        <x:f t="shared" si="117"/>
        <x:v/>
      </x:c>
      <x:c r="Y46" s="227"/>
      <x:c r="Z46" s="494" t="str">
        <x:f t="shared" si="118"/>
        <x:v/>
      </x:c>
      <x:c r="AA46" s="494" t="str">
        <x:f t="shared" si="119"/>
        <x:v/>
      </x:c>
      <x:c r="AC46" s="494" t="str">
        <x:f t="shared" si="120"/>
        <x:v/>
      </x:c>
      <x:c r="AD46" s="494" t="str">
        <x:f t="shared" si="121"/>
        <x:v/>
      </x:c>
      <x:c r="AF46" s="374" t="str">
        <x:f>IF(AI46="","",IF($X46="도비","-",CONCATENATE(AI46,"-",COUNTIF($AI$7:AI46,AI46))))</x:f>
        <x:v/>
      </x:c>
      <x:c r="AG46" s="374" t="str">
        <x:f t="shared" si="122"/>
        <x:v/>
      </x:c>
      <x:c r="AI46" s="374" t="str">
        <x:f t="array" ref="AI46:AI46">IF(OR(D46="",B46="직접입력",C46="직접입력"),"",INDEX(구분표!$I$2:$I$336,MATCH(1,(구분표!$G$2:$G$336='4. 특입'!B46)*(구분표!$E$2:$E$336='4. 특입'!C46)*(구분표!$F$2:$F$336='4. 특입'!D46),0)))</x:f>
        <x:v/>
      </x:c>
      <x:c r="AJ46" s="228"/>
      <x:c r="AK46" s="472" t="str">
        <x:f>IF($AF46="","",IF($AF46="-",0,SUMIFS('4. 특출'!$AB$6:$AB$2000,'4. 특출'!$AJ$6:$AJ$2000,$AF46)))</x:f>
        <x:v/>
      </x:c>
      <x:c r="AL46" s="377" t="str">
        <x:f>IF($AF46="","",IF($AF46="-",0,COUNTIF('4. 특출'!$AJ$6:$AJ$2000,$AF46)))</x:f>
        <x:v/>
      </x:c>
      <x:c r="AM46" s="374" t="str">
        <x:f t="shared" si="123"/>
        <x:v/>
      </x:c>
      <x:c r="AN46" s="228"/>
      <x:c r="AO46" s="472" t="str">
        <x:f>IF($AF46="","",IF($AF46="-",0,SUMIFS('4. 특출'!$AF$6:$AF$2000,'4. 특출'!$AJ$6:$AJ$2000,$AF46)))</x:f>
        <x:v/>
      </x:c>
      <x:c r="AP46" s="377" t="str">
        <x:f>IF($AF46="","",IF($AF46="-",0,COUNTIF('4. 특출'!$AJ$6:$AJ$2000,$AF46)))</x:f>
        <x:v/>
      </x:c>
      <x:c r="AQ46" s="374" t="str">
        <x:f t="shared" si="124"/>
        <x:v/>
      </x:c>
    </x:row>
    <x:row r="47" spans="1:43" ht="69.950000000000003" customHeight="1">
      <x:c r="A47" s="171"/>
      <x:c r="B47" s="888" t="s">
        <x:v>1499</x:v>
      </x:c>
      <x:c r="C47" s="888"/>
      <x:c r="D47" s="888"/>
      <x:c r="E47" s="888"/>
      <x:c r="F47" s="888"/>
      <x:c r="G47" s="888"/>
      <x:c r="H47" s="172"/>
      <x:c r="I47" s="172"/>
      <x:c r="J47" s="349" t="str">
        <x:f>SUBTOTAL(3,J48:J51)&amp;"건"</x:f>
        <x:v>0건</x:v>
      </x:c>
      <x:c r="K47" s="458">
        <x:f t="shared" ref="K47:Q47" si="128">SUBTOTAL(9,K48:K51)</x:f>
        <x:v>0</x:v>
      </x:c>
      <x:c r="L47" s="458">
        <x:f t="shared" si="128"/>
        <x:v>0</x:v>
      </x:c>
      <x:c r="M47" s="458">
        <x:f t="shared" si="128"/>
        <x:v>0</x:v>
      </x:c>
      <x:c r="N47" s="458">
        <x:f t="shared" si="128"/>
        <x:v>0</x:v>
      </x:c>
      <x:c r="O47" s="458">
        <x:f t="shared" si="128"/>
        <x:v>0</x:v>
      </x:c>
      <x:c r="P47" s="458">
        <x:f t="shared" si="128"/>
        <x:v>0</x:v>
      </x:c>
      <x:c r="Q47" s="458">
        <x:f t="shared" si="128"/>
        <x:v>0</x:v>
      </x:c>
      <x:c r="R47" s="171"/>
      <x:c r="S47" s="171"/>
      <x:c r="T47" s="171"/>
      <x:c r="U47" s="171"/>
      <x:c r="V47" s="171"/>
      <x:c r="W47" s="171"/>
      <x:c r="X47" s="173"/>
      <x:c r="Y47" s="43"/>
      <x:c r="Z47" s="458">
        <x:f>SUBTOTAL(9,Z48:Z51)</x:f>
        <x:v>0</x:v>
      </x:c>
      <x:c r="AA47" s="458">
        <x:f>SUBTOTAL(9,AA48:AA51)</x:f>
        <x:v>0</x:v>
      </x:c>
      <x:c r="AB47" s="44"/>
      <x:c r="AC47" s="458">
        <x:f>SUBTOTAL(9,AC48:AC51)</x:f>
        <x:v>0</x:v>
      </x:c>
      <x:c r="AD47" s="458">
        <x:f>SUBTOTAL(9,AD48:AD51)</x:f>
        <x:v>0</x:v>
      </x:c>
      <x:c r="AE47" s="44"/>
      <x:c r="AF47" s="171"/>
      <x:c r="AG47" s="173"/>
      <x:c r="AH47" s="44"/>
      <x:c r="AI47" s="173"/>
      <x:c r="AJ47" s="44"/>
      <x:c r="AK47" s="458">
        <x:f>SUBTOTAL(9,AK48:AK51)</x:f>
        <x:v>0</x:v>
      </x:c>
      <x:c r="AL47" s="458">
        <x:f>SUBTOTAL(9,AL48:AL51)</x:f>
        <x:v>0</x:v>
      </x:c>
      <x:c r="AM47" s="555" t="str">
        <x:f>IF(COUNTIF(AM48:AM51,"@@")&gt;0,"@@","OK")</x:f>
        <x:v>OK</x:v>
      </x:c>
      <x:c r="AN47" s="44"/>
      <x:c r="AO47" s="458">
        <x:f>SUBTOTAL(9,AO48:AO51)</x:f>
        <x:v>0</x:v>
      </x:c>
      <x:c r="AP47" s="458">
        <x:f>SUBTOTAL(9,AP48:AP51)</x:f>
        <x:v>0</x:v>
      </x:c>
      <x:c r="AQ47" s="555" t="str">
        <x:f>IF(COUNTIF(AQ48:AQ51,"@@")&gt;0,"@@","OK")</x:f>
        <x:v>OK</x:v>
      </x:c>
    </x:row>
    <x:row r="48" spans="1:43" s="165" customFormat="1" ht="69.950000000000003" customHeight="1">
      <x:c r="A48" s="155" t="str">
        <x:f>IF(D48="","",COUNTA($C$7:C48)-COUNTBLANK($C$7:C48)+9)</x:f>
        <x:v/>
      </x:c>
      <x:c r="B48" s="156" t="str">
        <x: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x:f>
        <x:v/>
      </x:c>
      <x:c r="C48" s="156" t="str">
        <x:f>IF(D48="","",IF(OR(D48="교육지원과"),"소방재난본부",VLOOKUP(D48,구분표!$A$3:$C$258,3,)))</x:f>
        <x:v/>
      </x:c>
      <x:c r="D48" s="226"/>
      <x:c r="E48" s="213"/>
      <x:c r="F48" s="388" t="str">
        <x:f>IF($E48="","",IF($E48="2추","직접입력","-"))</x:f>
        <x:v/>
      </x:c>
      <x:c r="G48" s="388" t="str">
        <x:f>IF($E48="","",IF($E48="2추","직접입력","-"))</x:f>
        <x:v/>
      </x:c>
      <x:c r="H48" s="214"/>
      <x:c r="I48" s="156" t="str">
        <x:f>IF(H48="","",VLOOKUP($H48,구분표!$O$3:$P$168,2,FALSE))</x:f>
        <x:v/>
      </x:c>
      <x:c r="J48" s="215"/>
      <x:c r="K48" s="459" t="str">
        <x:f>IF($E48="","",IF(OR($E48="2추",$E48="1추",$E48="본예산"),"금액입력","-"))</x:f>
        <x:v/>
      </x:c>
      <x:c r="L48" s="459" t="str">
        <x:f>IF($E48="","",IF($E48="2추","금액입력","-"))</x:f>
        <x:v/>
      </x:c>
      <x:c r="M48" s="461" t="str">
        <x:f t="shared" ref="M48:M51" si="129">IF($E48="","",SUM(K48:L48))</x:f>
        <x:v/>
      </x:c>
      <x:c r="N48" s="460"/>
      <x:c r="O48" s="461">
        <x:f t="shared" ref="O48:O51" si="130">SUM(M48:N48)</x:f>
        <x:v>0</x:v>
      </x:c>
      <x:c r="P48" s="462"/>
      <x:c r="Q48" s="463">
        <x:f t="shared" ref="Q48:Q51" si="131">SUM(M48,P48)</x:f>
        <x:v>0</x:v>
      </x:c>
      <x:c r="R48" s="162" t="str">
        <x:f t="shared" ref="R48:R51" si="132">IF(AND((O48=0),(Q48&gt;0)),"O",IF(AND((N48&lt;0),(O48-Q48&lt;0)),"O","X"))</x:f>
        <x:v>X</x:v>
      </x:c>
      <x:c r="S48" s="230"/>
      <x:c r="T48" s="229"/>
      <x:c r="U48" s="231"/>
      <x:c r="V48" s="232"/>
      <x:c r="W48" s="231"/>
      <x:c r="X48" s="162" t="str">
        <x:f t="shared" ref="X48:X51" si="133">IF($H48="","",IF(OR($H48="511-01",$H48="511-02",$H48="511-03",$H48="311-02",$H48="311-04",$H48="321-01"),"국비","도비"))</x:f>
        <x:v/>
      </x:c>
      <x:c r="Y48" s="227"/>
      <x:c r="Z48" s="494" t="str">
        <x:f t="shared" ref="Z48:Z51" si="134">IF($X48="","",IF($X48="국비",$N48,0))</x:f>
        <x:v/>
      </x:c>
      <x:c r="AA48" s="494" t="str">
        <x:f t="shared" ref="AA48:AA51" si="135">IF($X48="","",IF($X48="도비",$N48,0))</x:f>
        <x:v/>
      </x:c>
      <x:c r="AC48" s="494" t="str">
        <x:f t="shared" ref="AC48:AC51" si="136">IF($X48="","",IF($X48="국비",$P48,0))</x:f>
        <x:v/>
      </x:c>
      <x:c r="AD48" s="494" t="str">
        <x:f t="shared" ref="AD48:AD51" si="137">IF($X48="","",IF($X48="도비",$P48,0))</x:f>
        <x:v/>
      </x:c>
      <x:c r="AF48" s="374" t="str">
        <x:f>IF(AI48="","",IF($X48="도비","-",CONCATENATE(AI48,"-",COUNTIF($AI$7:AI48,AI48))))</x:f>
        <x:v/>
      </x:c>
      <x:c r="AG48" s="374" t="str">
        <x:f t="shared" ref="AG48:AG51" si="138">IF($H48="","",IF($H48="511-01","국비",IF($H48="511-02","균특",IF($H48="511-03","기금",IF($H48="311-02","특교",IF($H48="311-04","소교",IF($H48="321-01","소멸","도비")))))))</x:f>
        <x:v/>
      </x:c>
      <x:c r="AI48" s="374" t="str">
        <x:f t="array" ref="AI48:AI48">IF(OR(D48="",B48="직접입력",C48="직접입력"),"",INDEX(구분표!$I$2:$I$336,MATCH(1,(구분표!$G$2:$G$336='4. 특입'!B48)*(구분표!$E$2:$E$336='4. 특입'!C48)*(구분표!$F$2:$F$336='4. 특입'!D48),0)))</x:f>
        <x:v/>
      </x:c>
      <x:c r="AJ48" s="228"/>
      <x:c r="AK48" s="472" t="str">
        <x:f>IF($AF48="","",IF($AF48="-",0,SUMIFS('4. 특출'!$AB$6:$AB$2000,'4. 특출'!$AJ$6:$AJ$2000,$AF48)))</x:f>
        <x:v/>
      </x:c>
      <x:c r="AL48" s="377" t="str">
        <x:f>IF($AF48="","",IF($AF48="-",0,COUNTIF('4. 특출'!$AJ$6:$AJ$2000,$AF48)))</x:f>
        <x:v/>
      </x:c>
      <x:c r="AM48" s="374" t="str">
        <x:f t="shared" ref="AM48:AM51" si="139">IF($AF48="","",IF($Z48=$AK48,"OK","@@"))</x:f>
        <x:v/>
      </x:c>
      <x:c r="AN48" s="228"/>
      <x:c r="AO48" s="472" t="str">
        <x:f>IF($AF48="","",IF($AF48="-",0,SUMIFS('4. 특출'!$AF$6:$AF$2000,'4. 특출'!$AJ$6:$AJ$2000,$AF48)))</x:f>
        <x:v/>
      </x:c>
      <x:c r="AP48" s="377" t="str">
        <x:f>IF($AF48="","",IF($AF48="-",0,COUNTIF('4. 특출'!$AJ$6:$AJ$2000,$AF48)))</x:f>
        <x:v/>
      </x:c>
      <x:c r="AQ48" s="374" t="str">
        <x:f t="shared" ref="AQ48:AQ51" si="140">IF($AF48="","",IF($AC48=$AO48,"OK","@@"))</x:f>
        <x:v/>
      </x:c>
    </x:row>
    <x:row r="49" spans="1:43" s="165" customFormat="1" ht="69.950000000000003" customHeight="1">
      <x:c r="A49" s="155" t="str">
        <x:f>IF(D49="","",COUNTA($C$7:C49)-COUNTBLANK($C$7:C49)+9)</x:f>
        <x:v/>
      </x:c>
      <x:c r="B49" s="156" t="str">
        <x: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x:f>
        <x:v/>
      </x:c>
      <x:c r="C49" s="156" t="str">
        <x:f>IF(D49="","",IF(OR(D49="교육지원과"),"소방재난본부",VLOOKUP(D49,구분표!$A$3:$C$258,3,)))</x:f>
        <x:v/>
      </x:c>
      <x:c r="D49" s="226"/>
      <x:c r="E49" s="213"/>
      <x:c r="F49" s="388" t="str">
        <x:f t="shared" ref="F49:G51" si="141">IF($E49="","",IF($E49="2추","직접입력","-"))</x:f>
        <x:v/>
      </x:c>
      <x:c r="G49" s="388" t="str">
        <x:f t="shared" si="141"/>
        <x:v/>
      </x:c>
      <x:c r="H49" s="214"/>
      <x:c r="I49" s="156" t="str">
        <x:f>IF(H49="","",VLOOKUP($H49,구분표!$O$3:$P$168,2,FALSE))</x:f>
        <x:v/>
      </x:c>
      <x:c r="J49" s="215"/>
      <x:c r="K49" s="459" t="str">
        <x:f t="shared" ref="K49:K51" si="142">IF($E49="","",IF(OR($E49="2추",$E49="1추",$E49="본예산"),"금액입력","-"))</x:f>
        <x:v/>
      </x:c>
      <x:c r="L49" s="459" t="str">
        <x:f t="shared" ref="L49:L51" si="143">IF($E49="","",IF($E49="2추","금액입력","-"))</x:f>
        <x:v/>
      </x:c>
      <x:c r="M49" s="461" t="str">
        <x:f t="shared" si="129"/>
        <x:v/>
      </x:c>
      <x:c r="N49" s="460"/>
      <x:c r="O49" s="461">
        <x:f t="shared" si="130"/>
        <x:v>0</x:v>
      </x:c>
      <x:c r="P49" s="462"/>
      <x:c r="Q49" s="463">
        <x:f t="shared" si="131"/>
        <x:v>0</x:v>
      </x:c>
      <x:c r="R49" s="162" t="str">
        <x:f t="shared" si="132"/>
        <x:v>X</x:v>
      </x:c>
      <x:c r="S49" s="230"/>
      <x:c r="T49" s="229"/>
      <x:c r="U49" s="231"/>
      <x:c r="V49" s="232"/>
      <x:c r="W49" s="231"/>
      <x:c r="X49" s="162" t="str">
        <x:f t="shared" si="133"/>
        <x:v/>
      </x:c>
      <x:c r="Y49" s="227"/>
      <x:c r="Z49" s="494" t="str">
        <x:f t="shared" si="134"/>
        <x:v/>
      </x:c>
      <x:c r="AA49" s="494" t="str">
        <x:f t="shared" si="135"/>
        <x:v/>
      </x:c>
      <x:c r="AC49" s="494" t="str">
        <x:f t="shared" si="136"/>
        <x:v/>
      </x:c>
      <x:c r="AD49" s="494" t="str">
        <x:f t="shared" si="137"/>
        <x:v/>
      </x:c>
      <x:c r="AF49" s="374" t="str">
        <x:f>IF(AI49="","",IF($X49="도비","-",CONCATENATE(AI49,"-",COUNTIF($AI$7:AI49,AI49))))</x:f>
        <x:v/>
      </x:c>
      <x:c r="AG49" s="374" t="str">
        <x:f t="shared" si="138"/>
        <x:v/>
      </x:c>
      <x:c r="AI49" s="374" t="str">
        <x:f t="array" ref="AI49:AI49">IF(OR(D49="",B49="직접입력",C49="직접입력"),"",INDEX(구분표!$I$2:$I$336,MATCH(1,(구분표!$G$2:$G$336='4. 특입'!B49)*(구분표!$E$2:$E$336='4. 특입'!C49)*(구분표!$F$2:$F$336='4. 특입'!D49),0)))</x:f>
        <x:v/>
      </x:c>
      <x:c r="AJ49" s="228"/>
      <x:c r="AK49" s="472" t="str">
        <x:f>IF($AF49="","",IF($AF49="-",0,SUMIFS('4. 특출'!$AB$6:$AB$2000,'4. 특출'!$AJ$6:$AJ$2000,$AF49)))</x:f>
        <x:v/>
      </x:c>
      <x:c r="AL49" s="377" t="str">
        <x:f>IF($AF49="","",IF($AF49="-",0,COUNTIF('4. 특출'!$AJ$6:$AJ$2000,$AF49)))</x:f>
        <x:v/>
      </x:c>
      <x:c r="AM49" s="374" t="str">
        <x:f t="shared" si="139"/>
        <x:v/>
      </x:c>
      <x:c r="AN49" s="228"/>
      <x:c r="AO49" s="472" t="str">
        <x:f>IF($AF49="","",IF($AF49="-",0,SUMIFS('4. 특출'!$AF$6:$AF$2000,'4. 특출'!$AJ$6:$AJ$2000,$AF49)))</x:f>
        <x:v/>
      </x:c>
      <x:c r="AP49" s="377" t="str">
        <x:f>IF($AF49="","",IF($AF49="-",0,COUNTIF('4. 특출'!$AJ$6:$AJ$2000,$AF49)))</x:f>
        <x:v/>
      </x:c>
      <x:c r="AQ49" s="374" t="str">
        <x:f t="shared" si="140"/>
        <x:v/>
      </x:c>
    </x:row>
    <x:row r="50" spans="1:43" s="165" customFormat="1" ht="69.950000000000003" customHeight="1">
      <x:c r="A50" s="155" t="str">
        <x:f>IF(D50="","",COUNTA($C$7:C50)-COUNTBLANK($C$7:C50)+9)</x:f>
        <x:v/>
      </x:c>
      <x:c r="B50" s="156" t="str">
        <x: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x:f>
        <x:v/>
      </x:c>
      <x:c r="C50" s="156" t="str">
        <x:f>IF(D50="","",IF(OR(D50="교육지원과"),"소방재난본부",VLOOKUP(D50,구분표!$A$3:$C$258,3,)))</x:f>
        <x:v/>
      </x:c>
      <x:c r="D50" s="226"/>
      <x:c r="E50" s="213"/>
      <x:c r="F50" s="388" t="str">
        <x:f t="shared" si="141"/>
        <x:v/>
      </x:c>
      <x:c r="G50" s="388" t="str">
        <x:f t="shared" si="141"/>
        <x:v/>
      </x:c>
      <x:c r="H50" s="214"/>
      <x:c r="I50" s="156" t="str">
        <x:f>IF(H50="","",VLOOKUP($H50,구분표!$O$3:$P$168,2,FALSE))</x:f>
        <x:v/>
      </x:c>
      <x:c r="J50" s="215"/>
      <x:c r="K50" s="459" t="str">
        <x:f t="shared" si="142"/>
        <x:v/>
      </x:c>
      <x:c r="L50" s="459" t="str">
        <x:f t="shared" si="143"/>
        <x:v/>
      </x:c>
      <x:c r="M50" s="461" t="str">
        <x:f t="shared" si="129"/>
        <x:v/>
      </x:c>
      <x:c r="N50" s="460"/>
      <x:c r="O50" s="461">
        <x:f t="shared" si="130"/>
        <x:v>0</x:v>
      </x:c>
      <x:c r="P50" s="462"/>
      <x:c r="Q50" s="463">
        <x:f t="shared" si="131"/>
        <x:v>0</x:v>
      </x:c>
      <x:c r="R50" s="162" t="str">
        <x:f t="shared" si="132"/>
        <x:v>X</x:v>
      </x:c>
      <x:c r="S50" s="230"/>
      <x:c r="T50" s="229"/>
      <x:c r="U50" s="231"/>
      <x:c r="V50" s="232"/>
      <x:c r="W50" s="231"/>
      <x:c r="X50" s="162" t="str">
        <x:f t="shared" si="133"/>
        <x:v/>
      </x:c>
      <x:c r="Y50" s="227"/>
      <x:c r="Z50" s="494" t="str">
        <x:f t="shared" si="134"/>
        <x:v/>
      </x:c>
      <x:c r="AA50" s="494" t="str">
        <x:f t="shared" si="135"/>
        <x:v/>
      </x:c>
      <x:c r="AC50" s="494" t="str">
        <x:f t="shared" si="136"/>
        <x:v/>
      </x:c>
      <x:c r="AD50" s="494" t="str">
        <x:f t="shared" si="137"/>
        <x:v/>
      </x:c>
      <x:c r="AF50" s="374" t="str">
        <x:f>IF(AI50="","",IF($X50="도비","-",CONCATENATE(AI50,"-",COUNTIF($AI$7:AI50,AI50))))</x:f>
        <x:v/>
      </x:c>
      <x:c r="AG50" s="374" t="str">
        <x:f t="shared" si="138"/>
        <x:v/>
      </x:c>
      <x:c r="AI50" s="374" t="str">
        <x:f t="array" ref="AI50:AI50">IF(OR(D50="",B50="직접입력",C50="직접입력"),"",INDEX(구분표!$I$2:$I$336,MATCH(1,(구분표!$G$2:$G$336='4. 특입'!B50)*(구분표!$E$2:$E$336='4. 특입'!C50)*(구분표!$F$2:$F$336='4. 특입'!D50),0)))</x:f>
        <x:v/>
      </x:c>
      <x:c r="AJ50" s="228"/>
      <x:c r="AK50" s="472" t="str">
        <x:f>IF($AF50="","",IF($AF50="-",0,SUMIFS('4. 특출'!$AB$6:$AB$2000,'4. 특출'!$AJ$6:$AJ$2000,$AF50)))</x:f>
        <x:v/>
      </x:c>
      <x:c r="AL50" s="377" t="str">
        <x:f>IF($AF50="","",IF($AF50="-",0,COUNTIF('4. 특출'!$AJ$6:$AJ$2000,$AF50)))</x:f>
        <x:v/>
      </x:c>
      <x:c r="AM50" s="374" t="str">
        <x:f t="shared" si="139"/>
        <x:v/>
      </x:c>
      <x:c r="AN50" s="228"/>
      <x:c r="AO50" s="472" t="str">
        <x:f>IF($AF50="","",IF($AF50="-",0,SUMIFS('4. 특출'!$AF$6:$AF$2000,'4. 특출'!$AJ$6:$AJ$2000,$AF50)))</x:f>
        <x:v/>
      </x:c>
      <x:c r="AP50" s="377" t="str">
        <x:f>IF($AF50="","",IF($AF50="-",0,COUNTIF('4. 특출'!$AJ$6:$AJ$2000,$AF50)))</x:f>
        <x:v/>
      </x:c>
      <x:c r="AQ50" s="374" t="str">
        <x:f t="shared" si="140"/>
        <x:v/>
      </x:c>
    </x:row>
    <x:row r="51" spans="1:43" s="165" customFormat="1" ht="69.950000000000003" customHeight="1">
      <x:c r="A51" s="155" t="str">
        <x:f>IF(D51="","",COUNTA($C$7:C51)-COUNTBLANK($C$7:C51)+9)</x:f>
        <x:v/>
      </x:c>
      <x:c r="B51" s="156" t="str">
        <x: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x:f>
        <x:v/>
      </x:c>
      <x:c r="C51" s="156" t="str">
        <x:f>IF(D51="","",IF(OR(D51="교육지원과"),"소방재난본부",VLOOKUP(D51,구분표!$A$3:$C$258,3,)))</x:f>
        <x:v/>
      </x:c>
      <x:c r="D51" s="226"/>
      <x:c r="E51" s="213"/>
      <x:c r="F51" s="388" t="str">
        <x:f t="shared" si="141"/>
        <x:v/>
      </x:c>
      <x:c r="G51" s="388" t="str">
        <x:f t="shared" si="141"/>
        <x:v/>
      </x:c>
      <x:c r="H51" s="214"/>
      <x:c r="I51" s="156" t="str">
        <x:f>IF(H51="","",VLOOKUP($H51,구분표!$O$3:$P$168,2,FALSE))</x:f>
        <x:v/>
      </x:c>
      <x:c r="J51" s="215"/>
      <x:c r="K51" s="459" t="str">
        <x:f t="shared" si="142"/>
        <x:v/>
      </x:c>
      <x:c r="L51" s="459" t="str">
        <x:f t="shared" si="143"/>
        <x:v/>
      </x:c>
      <x:c r="M51" s="461" t="str">
        <x:f t="shared" si="129"/>
        <x:v/>
      </x:c>
      <x:c r="N51" s="460"/>
      <x:c r="O51" s="461">
        <x:f t="shared" si="130"/>
        <x:v>0</x:v>
      </x:c>
      <x:c r="P51" s="462"/>
      <x:c r="Q51" s="463">
        <x:f t="shared" si="131"/>
        <x:v>0</x:v>
      </x:c>
      <x:c r="R51" s="162" t="str">
        <x:f t="shared" si="132"/>
        <x:v>X</x:v>
      </x:c>
      <x:c r="S51" s="230"/>
      <x:c r="T51" s="229"/>
      <x:c r="U51" s="231"/>
      <x:c r="V51" s="232"/>
      <x:c r="W51" s="231"/>
      <x:c r="X51" s="162" t="str">
        <x:f t="shared" si="133"/>
        <x:v/>
      </x:c>
      <x:c r="Y51" s="227"/>
      <x:c r="Z51" s="494" t="str">
        <x:f t="shared" si="134"/>
        <x:v/>
      </x:c>
      <x:c r="AA51" s="494" t="str">
        <x:f t="shared" si="135"/>
        <x:v/>
      </x:c>
      <x:c r="AC51" s="494" t="str">
        <x:f t="shared" si="136"/>
        <x:v/>
      </x:c>
      <x:c r="AD51" s="494" t="str">
        <x:f t="shared" si="137"/>
        <x:v/>
      </x:c>
      <x:c r="AF51" s="374" t="str">
        <x:f>IF(AI51="","",IF($X51="도비","-",CONCATENATE(AI51,"-",COUNTIF($AI$7:AI51,AI51))))</x:f>
        <x:v/>
      </x:c>
      <x:c r="AG51" s="374" t="str">
        <x:f t="shared" si="138"/>
        <x:v/>
      </x:c>
      <x:c r="AI51" s="374" t="str">
        <x:f t="array" ref="AI51:AI51">IF(OR(D51="",B51="직접입력",C51="직접입력"),"",INDEX(구분표!$I$2:$I$336,MATCH(1,(구분표!$G$2:$G$336='4. 특입'!B51)*(구분표!$E$2:$E$336='4. 특입'!C51)*(구분표!$F$2:$F$336='4. 특입'!D51),0)))</x:f>
        <x:v/>
      </x:c>
      <x:c r="AJ51" s="228"/>
      <x:c r="AK51" s="472" t="str">
        <x:f>IF($AF51="","",IF($AF51="-",0,SUMIFS('4. 특출'!$AB$6:$AB$2000,'4. 특출'!$AJ$6:$AJ$2000,$AF51)))</x:f>
        <x:v/>
      </x:c>
      <x:c r="AL51" s="377" t="str">
        <x:f>IF($AF51="","",IF($AF51="-",0,COUNTIF('4. 특출'!$AJ$6:$AJ$2000,$AF51)))</x:f>
        <x:v/>
      </x:c>
      <x:c r="AM51" s="374" t="str">
        <x:f t="shared" si="139"/>
        <x:v/>
      </x:c>
      <x:c r="AN51" s="228"/>
      <x:c r="AO51" s="472" t="str">
        <x:f>IF($AF51="","",IF($AF51="-",0,SUMIFS('4. 특출'!$AF$6:$AF$2000,'4. 특출'!$AJ$6:$AJ$2000,$AF51)))</x:f>
        <x:v/>
      </x:c>
      <x:c r="AP51" s="377" t="str">
        <x:f>IF($AF51="","",IF($AF51="-",0,COUNTIF('4. 특출'!$AJ$6:$AJ$2000,$AF51)))</x:f>
        <x:v/>
      </x:c>
      <x:c r="AQ51" s="374" t="str">
        <x:f t="shared" si="140"/>
        <x:v/>
      </x:c>
    </x:row>
    <x:row r="52" spans="1:43" ht="36" customHeight="1">
      <x:c r="A52" s="77"/>
      <x:c r="B52" s="51"/>
      <x:c r="C52" s="51"/>
      <x:c r="D52" s="51"/>
      <x:c r="E52" s="51"/>
      <x:c r="H52" s="44"/>
      <x:c r="I52" s="44"/>
      <x:c r="J52" s="44"/>
      <x:c r="K52" s="44"/>
      <x:c r="L52" s="44"/>
      <x:c r="M52" s="489"/>
      <x:c r="N52" s="489"/>
      <x:c r="O52" s="489"/>
      <x:c r="P52" s="489"/>
      <x:c r="Q52" s="489"/>
      <x:c r="R52" s="44"/>
      <x:c r="S52" s="44"/>
      <x:c r="T52" s="44"/>
      <x:c r="U52" s="44"/>
      <x:c r="V52" s="44"/>
      <x:c r="W52" s="44"/>
      <x:c r="X52" s="51"/>
      <x:c r="Y52" s="44"/>
      <x:c r="Z52" s="489"/>
      <x:c r="AA52" s="489"/>
      <x:c r="AB52" s="44"/>
      <x:c r="AC52" s="489"/>
      <x:c r="AD52" s="489"/>
      <x:c r="AE52" s="44"/>
      <x:c r="AF52" s="44"/>
      <x:c r="AG52" s="44"/>
      <x:c r="AH52" s="44"/>
      <x:c r="AI52" s="44"/>
      <x:c r="AJ52" s="44"/>
      <x:c r="AK52" s="489"/>
      <x:c r="AL52" s="44"/>
      <x:c r="AM52" s="44"/>
      <x:c r="AN52" s="44"/>
      <x:c r="AO52" s="489"/>
      <x:c r="AP52" s="44"/>
      <x:c r="AQ52" s="44"/>
    </x:row>
    <x:row r="53" spans="1:43" customHeight="1">
      <x:c r="A53" s="44"/>
      <x:c r="B53" s="51"/>
      <x:c r="C53" s="51"/>
      <x:c r="D53" s="51"/>
      <x:c r="E53" s="51"/>
      <x:c r="H53" s="44"/>
      <x:c r="I53" s="44"/>
      <x:c r="J53" s="44"/>
      <x:c r="K53" s="44"/>
      <x:c r="L53" s="44"/>
      <x:c r="M53" s="489"/>
      <x:c r="N53" s="489"/>
      <x:c r="O53" s="489"/>
      <x:c r="P53" s="489"/>
      <x:c r="Q53" s="489"/>
      <x:c r="R53" s="44"/>
      <x:c r="S53" s="44"/>
      <x:c r="T53" s="44"/>
      <x:c r="U53" s="44"/>
      <x:c r="V53" s="44"/>
      <x:c r="W53" s="44"/>
      <x:c r="X53" s="51"/>
      <x:c r="Y53" s="44"/>
      <x:c r="Z53" s="489"/>
      <x:c r="AA53" s="489"/>
      <x:c r="AB53" s="44"/>
      <x:c r="AC53" s="489"/>
      <x:c r="AD53" s="489"/>
      <x:c r="AE53" s="44"/>
      <x:c r="AF53" s="44"/>
      <x:c r="AG53" s="44"/>
      <x:c r="AH53" s="44"/>
      <x:c r="AI53" s="44"/>
      <x:c r="AJ53" s="44"/>
      <x:c r="AK53" s="489"/>
      <x:c r="AL53" s="44"/>
      <x:c r="AM53" s="44"/>
      <x:c r="AN53" s="44"/>
      <x:c r="AO53" s="489"/>
      <x:c r="AP53" s="44"/>
      <x:c r="AQ53" s="44"/>
    </x:row>
    <x:row r="54" spans="1:43" customHeight="1">
      <x:c r="A54" s="44"/>
      <x:c r="B54" s="51"/>
      <x:c r="C54" s="51"/>
      <x:c r="D54" s="51"/>
      <x:c r="E54" s="51"/>
      <x:c r="H54" s="44"/>
      <x:c r="I54" s="44"/>
      <x:c r="J54" s="44"/>
      <x:c r="K54" s="44"/>
      <x:c r="L54" s="44"/>
      <x:c r="M54" s="489"/>
      <x:c r="N54" s="489"/>
      <x:c r="O54" s="489"/>
      <x:c r="P54" s="489"/>
      <x:c r="Q54" s="489"/>
      <x:c r="R54" s="44"/>
      <x:c r="S54" s="44"/>
      <x:c r="T54" s="44"/>
      <x:c r="U54" s="44"/>
      <x:c r="V54" s="44"/>
      <x:c r="W54" s="44"/>
      <x:c r="X54" s="51"/>
      <x:c r="Y54" s="44"/>
      <x:c r="Z54" s="489"/>
      <x:c r="AA54" s="489"/>
      <x:c r="AB54" s="44"/>
      <x:c r="AC54" s="489"/>
      <x:c r="AD54" s="489"/>
      <x:c r="AE54" s="44"/>
      <x:c r="AF54" s="44"/>
      <x:c r="AG54" s="44"/>
      <x:c r="AH54" s="44"/>
      <x:c r="AI54" s="44"/>
      <x:c r="AJ54" s="44"/>
      <x:c r="AK54" s="489"/>
      <x:c r="AL54" s="44"/>
      <x:c r="AM54" s="44"/>
      <x:c r="AN54" s="44"/>
      <x:c r="AO54" s="489"/>
      <x:c r="AP54" s="44"/>
      <x:c r="AQ54" s="44"/>
    </x:row>
    <x:row r="55" spans="1:43" customHeight="1">
      <x:c r="A55" s="44"/>
      <x:c r="B55" s="51"/>
      <x:c r="C55" s="51"/>
      <x:c r="D55" s="51"/>
      <x:c r="E55" s="51"/>
      <x:c r="H55" s="44"/>
      <x:c r="I55" s="44"/>
      <x:c r="J55" s="44"/>
      <x:c r="K55" s="44"/>
      <x:c r="L55" s="44"/>
      <x:c r="M55" s="489"/>
      <x:c r="N55" s="489"/>
      <x:c r="O55" s="489"/>
      <x:c r="P55" s="489"/>
      <x:c r="Q55" s="489"/>
      <x:c r="R55" s="44"/>
      <x:c r="S55" s="44"/>
      <x:c r="T55" s="44"/>
      <x:c r="U55" s="44"/>
      <x:c r="V55" s="44"/>
      <x:c r="W55" s="44"/>
      <x:c r="X55" s="51"/>
      <x:c r="Y55" s="44"/>
      <x:c r="Z55" s="489"/>
      <x:c r="AA55" s="489"/>
      <x:c r="AB55" s="44"/>
      <x:c r="AC55" s="489"/>
      <x:c r="AD55" s="489"/>
      <x:c r="AE55" s="44"/>
      <x:c r="AF55" s="44"/>
      <x:c r="AG55" s="44"/>
      <x:c r="AH55" s="44"/>
      <x:c r="AI55" s="44"/>
      <x:c r="AJ55" s="44"/>
      <x:c r="AK55" s="489"/>
      <x:c r="AL55" s="44"/>
      <x:c r="AM55" s="44"/>
      <x:c r="AN55" s="44"/>
      <x:c r="AO55" s="489"/>
      <x:c r="AP55" s="44"/>
      <x:c r="AQ55" s="44"/>
    </x:row>
    <x:row r="56" spans="1:43" customHeight="1">
      <x:c r="A56" s="44"/>
      <x:c r="B56" s="51"/>
      <x:c r="C56" s="51"/>
      <x:c r="D56" s="51"/>
      <x:c r="E56" s="51"/>
      <x:c r="H56" s="44"/>
      <x:c r="I56" s="44"/>
      <x:c r="J56" s="44"/>
      <x:c r="K56" s="44"/>
      <x:c r="L56" s="44"/>
      <x:c r="M56" s="489"/>
      <x:c r="N56" s="489"/>
      <x:c r="O56" s="489"/>
      <x:c r="P56" s="489"/>
      <x:c r="Q56" s="489"/>
      <x:c r="R56" s="44"/>
      <x:c r="S56" s="44"/>
      <x:c r="T56" s="44"/>
      <x:c r="U56" s="44"/>
      <x:c r="V56" s="44"/>
      <x:c r="W56" s="44"/>
      <x:c r="X56" s="51"/>
      <x:c r="Y56" s="44"/>
      <x:c r="Z56" s="489"/>
      <x:c r="AA56" s="489"/>
      <x:c r="AB56" s="44"/>
      <x:c r="AC56" s="489"/>
      <x:c r="AD56" s="489"/>
      <x:c r="AE56" s="44"/>
      <x:c r="AF56" s="44"/>
      <x:c r="AG56" s="44"/>
      <x:c r="AH56" s="44"/>
      <x:c r="AI56" s="44"/>
      <x:c r="AJ56" s="44"/>
      <x:c r="AK56" s="489"/>
      <x:c r="AL56" s="44"/>
      <x:c r="AM56" s="44"/>
      <x:c r="AN56" s="44"/>
      <x:c r="AO56" s="489"/>
      <x:c r="AP56" s="44"/>
      <x:c r="AQ56" s="44"/>
    </x:row>
    <x:row r="57" spans="1:43" customHeight="1">
      <x:c r="A57" s="44"/>
      <x:c r="B57" s="51"/>
      <x:c r="C57" s="51"/>
      <x:c r="D57" s="51"/>
      <x:c r="E57" s="51"/>
      <x:c r="H57" s="44"/>
      <x:c r="I57" s="44"/>
      <x:c r="J57" s="44"/>
      <x:c r="K57" s="44"/>
      <x:c r="L57" s="44"/>
      <x:c r="M57" s="489"/>
      <x:c r="N57" s="489"/>
      <x:c r="O57" s="489"/>
      <x:c r="P57" s="489"/>
      <x:c r="Q57" s="489"/>
      <x:c r="R57" s="44"/>
      <x:c r="S57" s="44"/>
      <x:c r="T57" s="44"/>
      <x:c r="U57" s="44"/>
      <x:c r="V57" s="44"/>
      <x:c r="W57" s="44"/>
      <x:c r="X57" s="51"/>
      <x:c r="Y57" s="44"/>
      <x:c r="Z57" s="489"/>
      <x:c r="AA57" s="489"/>
      <x:c r="AB57" s="44"/>
      <x:c r="AC57" s="489"/>
      <x:c r="AD57" s="489"/>
      <x:c r="AE57" s="44"/>
      <x:c r="AF57" s="44"/>
      <x:c r="AG57" s="44"/>
      <x:c r="AH57" s="44"/>
      <x:c r="AI57" s="44"/>
      <x:c r="AJ57" s="44"/>
      <x:c r="AK57" s="489"/>
      <x:c r="AL57" s="44"/>
      <x:c r="AM57" s="44"/>
      <x:c r="AN57" s="44"/>
      <x:c r="AO57" s="489"/>
      <x:c r="AP57" s="44"/>
      <x:c r="AQ57" s="44"/>
    </x:row>
    <x:row r="58" spans="1:43" customHeight="1">
      <x:c r="A58" s="44"/>
      <x:c r="B58" s="51"/>
      <x:c r="C58" s="51"/>
      <x:c r="D58" s="51"/>
      <x:c r="E58" s="51"/>
      <x:c r="H58" s="44"/>
      <x:c r="I58" s="44"/>
      <x:c r="J58" s="44"/>
      <x:c r="K58" s="44"/>
      <x:c r="L58" s="44"/>
      <x:c r="M58" s="489"/>
      <x:c r="N58" s="489"/>
      <x:c r="O58" s="489"/>
      <x:c r="P58" s="489"/>
      <x:c r="Q58" s="489"/>
      <x:c r="R58" s="44"/>
      <x:c r="S58" s="44"/>
      <x:c r="T58" s="44"/>
      <x:c r="U58" s="44"/>
      <x:c r="V58" s="44"/>
      <x:c r="W58" s="44"/>
      <x:c r="X58" s="51"/>
      <x:c r="Y58" s="44"/>
      <x:c r="Z58" s="489"/>
      <x:c r="AA58" s="489"/>
      <x:c r="AB58" s="44"/>
      <x:c r="AC58" s="489"/>
      <x:c r="AD58" s="489"/>
      <x:c r="AE58" s="44"/>
      <x:c r="AF58" s="44"/>
      <x:c r="AG58" s="44"/>
      <x:c r="AH58" s="44"/>
      <x:c r="AI58" s="44"/>
      <x:c r="AJ58" s="44"/>
      <x:c r="AK58" s="489"/>
      <x:c r="AL58" s="44"/>
      <x:c r="AM58" s="44"/>
      <x:c r="AN58" s="44"/>
      <x:c r="AO58" s="489"/>
      <x:c r="AP58" s="44"/>
      <x:c r="AQ58" s="44"/>
    </x:row>
    <x:row r="59" spans="1:43" customHeight="1">
      <x:c r="A59" s="44"/>
      <x:c r="B59" s="51"/>
      <x:c r="C59" s="51"/>
      <x:c r="D59" s="51"/>
      <x:c r="E59" s="51"/>
      <x:c r="H59" s="44"/>
      <x:c r="I59" s="44"/>
      <x:c r="J59" s="44"/>
      <x:c r="K59" s="44"/>
      <x:c r="L59" s="44"/>
      <x:c r="M59" s="489"/>
      <x:c r="N59" s="489"/>
      <x:c r="O59" s="489"/>
      <x:c r="P59" s="489"/>
      <x:c r="Q59" s="489"/>
      <x:c r="R59" s="44"/>
      <x:c r="S59" s="44"/>
      <x:c r="T59" s="44"/>
      <x:c r="U59" s="44"/>
      <x:c r="V59" s="44"/>
      <x:c r="W59" s="44"/>
      <x:c r="X59" s="51"/>
      <x:c r="Y59" s="44"/>
      <x:c r="Z59" s="489"/>
      <x:c r="AA59" s="489"/>
      <x:c r="AB59" s="44"/>
      <x:c r="AC59" s="489"/>
      <x:c r="AD59" s="489"/>
      <x:c r="AE59" s="44"/>
      <x:c r="AF59" s="44"/>
      <x:c r="AG59" s="44"/>
      <x:c r="AH59" s="44"/>
      <x:c r="AI59" s="44"/>
      <x:c r="AJ59" s="44"/>
      <x:c r="AK59" s="489"/>
      <x:c r="AL59" s="44"/>
      <x:c r="AM59" s="44"/>
      <x:c r="AN59" s="44"/>
      <x:c r="AO59" s="489"/>
      <x:c r="AP59" s="44"/>
      <x:c r="AQ59" s="44"/>
    </x:row>
    <x:row r="60" spans="1:43" customHeight="1">
      <x:c r="A60" s="44"/>
      <x:c r="B60" s="51"/>
      <x:c r="C60" s="51"/>
      <x:c r="D60" s="51"/>
      <x:c r="E60" s="51"/>
      <x:c r="H60" s="44"/>
      <x:c r="I60" s="44"/>
      <x:c r="J60" s="44"/>
      <x:c r="K60" s="44"/>
      <x:c r="L60" s="44"/>
      <x:c r="M60" s="489"/>
      <x:c r="N60" s="489"/>
      <x:c r="O60" s="489"/>
      <x:c r="P60" s="489"/>
      <x:c r="Q60" s="489"/>
      <x:c r="R60" s="44"/>
      <x:c r="S60" s="44"/>
      <x:c r="T60" s="44"/>
      <x:c r="U60" s="44"/>
      <x:c r="V60" s="44"/>
      <x:c r="W60" s="44"/>
      <x:c r="X60" s="51"/>
      <x:c r="Y60" s="44"/>
      <x:c r="Z60" s="489"/>
      <x:c r="AA60" s="489"/>
      <x:c r="AB60" s="44"/>
      <x:c r="AC60" s="489"/>
      <x:c r="AD60" s="489"/>
      <x:c r="AE60" s="44"/>
      <x:c r="AF60" s="44"/>
      <x:c r="AG60" s="44"/>
      <x:c r="AH60" s="44"/>
      <x:c r="AI60" s="44"/>
      <x:c r="AJ60" s="44"/>
      <x:c r="AK60" s="489"/>
      <x:c r="AL60" s="44"/>
      <x:c r="AM60" s="44"/>
      <x:c r="AN60" s="44"/>
      <x:c r="AO60" s="489"/>
      <x:c r="AP60" s="44"/>
      <x:c r="AQ60" s="44"/>
    </x:row>
    <x:row r="61" spans="1:43" customHeight="1">
      <x:c r="A61" s="44"/>
      <x:c r="B61" s="51"/>
      <x:c r="C61" s="51"/>
      <x:c r="D61" s="51"/>
      <x:c r="E61" s="51"/>
      <x:c r="H61" s="44"/>
      <x:c r="I61" s="44"/>
      <x:c r="J61" s="44"/>
      <x:c r="K61" s="44"/>
      <x:c r="L61" s="44"/>
      <x:c r="M61" s="489"/>
      <x:c r="N61" s="489"/>
      <x:c r="O61" s="489"/>
      <x:c r="P61" s="489"/>
      <x:c r="Q61" s="489"/>
      <x:c r="R61" s="44"/>
      <x:c r="S61" s="44"/>
      <x:c r="T61" s="44"/>
      <x:c r="U61" s="44"/>
      <x:c r="V61" s="44"/>
      <x:c r="W61" s="44"/>
      <x:c r="X61" s="51"/>
      <x:c r="Y61" s="44"/>
      <x:c r="Z61" s="489"/>
      <x:c r="AA61" s="489"/>
      <x:c r="AB61" s="44"/>
      <x:c r="AC61" s="489"/>
      <x:c r="AD61" s="489"/>
      <x:c r="AE61" s="44"/>
      <x:c r="AF61" s="44"/>
      <x:c r="AG61" s="44"/>
      <x:c r="AH61" s="44"/>
      <x:c r="AI61" s="44"/>
      <x:c r="AJ61" s="44"/>
      <x:c r="AK61" s="489"/>
      <x:c r="AL61" s="44"/>
      <x:c r="AM61" s="44"/>
      <x:c r="AN61" s="44"/>
      <x:c r="AO61" s="489"/>
      <x:c r="AP61" s="44"/>
      <x:c r="AQ61" s="44"/>
    </x:row>
    <x:row r="62" spans="1:43" customHeight="1">
      <x:c r="A62" s="44"/>
      <x:c r="B62" s="51"/>
      <x:c r="C62" s="51"/>
      <x:c r="D62" s="51"/>
      <x:c r="E62" s="51"/>
      <x:c r="H62" s="44"/>
      <x:c r="I62" s="44"/>
      <x:c r="J62" s="44"/>
      <x:c r="K62" s="44"/>
      <x:c r="L62" s="44"/>
      <x:c r="M62" s="489"/>
      <x:c r="N62" s="489"/>
      <x:c r="O62" s="489"/>
      <x:c r="P62" s="489"/>
      <x:c r="Q62" s="489"/>
      <x:c r="R62" s="44"/>
      <x:c r="S62" s="44"/>
      <x:c r="T62" s="44"/>
      <x:c r="U62" s="44"/>
      <x:c r="V62" s="44"/>
      <x:c r="W62" s="44"/>
      <x:c r="X62" s="51"/>
      <x:c r="Y62" s="44"/>
      <x:c r="Z62" s="489"/>
      <x:c r="AA62" s="489"/>
      <x:c r="AB62" s="44"/>
      <x:c r="AC62" s="489"/>
      <x:c r="AD62" s="489"/>
      <x:c r="AE62" s="44"/>
      <x:c r="AF62" s="44"/>
      <x:c r="AG62" s="44"/>
      <x:c r="AH62" s="44"/>
      <x:c r="AI62" s="44"/>
      <x:c r="AJ62" s="44"/>
      <x:c r="AK62" s="489"/>
      <x:c r="AL62" s="44"/>
      <x:c r="AM62" s="44"/>
      <x:c r="AN62" s="44"/>
      <x:c r="AO62" s="489"/>
      <x:c r="AP62" s="44"/>
      <x:c r="AQ62" s="44"/>
    </x:row>
    <x:row r="63" spans="1:43" customHeight="1">
      <x:c r="A63" s="44"/>
      <x:c r="B63" s="51"/>
      <x:c r="C63" s="51"/>
      <x:c r="D63" s="51"/>
      <x:c r="E63" s="51"/>
      <x:c r="H63" s="44"/>
      <x:c r="I63" s="44"/>
      <x:c r="J63" s="44"/>
      <x:c r="K63" s="44"/>
      <x:c r="L63" s="44"/>
      <x:c r="M63" s="489"/>
      <x:c r="N63" s="489"/>
      <x:c r="O63" s="489"/>
      <x:c r="P63" s="489"/>
      <x:c r="Q63" s="489"/>
      <x:c r="R63" s="44"/>
      <x:c r="S63" s="44"/>
      <x:c r="T63" s="44"/>
      <x:c r="U63" s="44"/>
      <x:c r="V63" s="44"/>
      <x:c r="W63" s="44"/>
      <x:c r="X63" s="51"/>
      <x:c r="Y63" s="44"/>
      <x:c r="Z63" s="489"/>
      <x:c r="AA63" s="489"/>
      <x:c r="AB63" s="44"/>
      <x:c r="AC63" s="489"/>
      <x:c r="AD63" s="489"/>
      <x:c r="AE63" s="44"/>
      <x:c r="AF63" s="44"/>
      <x:c r="AG63" s="44"/>
      <x:c r="AH63" s="44"/>
      <x:c r="AI63" s="44"/>
      <x:c r="AJ63" s="44"/>
      <x:c r="AK63" s="489"/>
      <x:c r="AL63" s="44"/>
      <x:c r="AM63" s="44"/>
      <x:c r="AN63" s="44"/>
      <x:c r="AO63" s="489"/>
      <x:c r="AP63" s="44"/>
      <x:c r="AQ63" s="44"/>
    </x:row>
    <x:row r="64" spans="1:43" customHeight="1">
      <x:c r="A64" s="44"/>
      <x:c r="B64" s="51"/>
      <x:c r="C64" s="51"/>
      <x:c r="D64" s="51"/>
      <x:c r="E64" s="51"/>
      <x:c r="H64" s="44"/>
      <x:c r="I64" s="44"/>
      <x:c r="J64" s="44"/>
      <x:c r="K64" s="44"/>
      <x:c r="L64" s="44"/>
      <x:c r="M64" s="489"/>
      <x:c r="N64" s="489"/>
      <x:c r="O64" s="489"/>
      <x:c r="P64" s="489"/>
      <x:c r="Q64" s="489"/>
      <x:c r="R64" s="44"/>
      <x:c r="S64" s="44"/>
      <x:c r="T64" s="44"/>
      <x:c r="U64" s="44"/>
      <x:c r="V64" s="44"/>
      <x:c r="W64" s="44"/>
      <x:c r="X64" s="51"/>
      <x:c r="Y64" s="44"/>
      <x:c r="Z64" s="489"/>
      <x:c r="AA64" s="489"/>
      <x:c r="AB64" s="44"/>
      <x:c r="AC64" s="489"/>
      <x:c r="AD64" s="489"/>
      <x:c r="AE64" s="44"/>
      <x:c r="AF64" s="44"/>
      <x:c r="AG64" s="44"/>
      <x:c r="AH64" s="44"/>
      <x:c r="AI64" s="44"/>
      <x:c r="AJ64" s="44"/>
      <x:c r="AK64" s="489"/>
      <x:c r="AL64" s="44"/>
      <x:c r="AM64" s="44"/>
      <x:c r="AN64" s="44"/>
      <x:c r="AO64" s="489"/>
      <x:c r="AP64" s="44"/>
      <x:c r="AQ64" s="44"/>
    </x:row>
    <x:row r="65" spans="1:43" customHeight="1">
      <x:c r="A65" s="44"/>
      <x:c r="B65" s="51"/>
      <x:c r="C65" s="51"/>
      <x:c r="D65" s="51"/>
      <x:c r="E65" s="51"/>
      <x:c r="H65" s="44"/>
      <x:c r="I65" s="44"/>
      <x:c r="J65" s="44"/>
      <x:c r="K65" s="44"/>
      <x:c r="L65" s="44"/>
      <x:c r="M65" s="489"/>
      <x:c r="N65" s="489"/>
      <x:c r="O65" s="489"/>
      <x:c r="P65" s="489"/>
      <x:c r="Q65" s="489"/>
      <x:c r="R65" s="44"/>
      <x:c r="S65" s="44"/>
      <x:c r="T65" s="44"/>
      <x:c r="U65" s="44"/>
      <x:c r="V65" s="44"/>
      <x:c r="W65" s="44"/>
      <x:c r="X65" s="51"/>
      <x:c r="Y65" s="44"/>
      <x:c r="Z65" s="489"/>
      <x:c r="AA65" s="489"/>
      <x:c r="AB65" s="44"/>
      <x:c r="AC65" s="489"/>
      <x:c r="AD65" s="489"/>
      <x:c r="AE65" s="44"/>
      <x:c r="AF65" s="44"/>
      <x:c r="AG65" s="44"/>
      <x:c r="AH65" s="44"/>
      <x:c r="AI65" s="44"/>
      <x:c r="AJ65" s="44"/>
      <x:c r="AK65" s="489"/>
      <x:c r="AL65" s="44"/>
      <x:c r="AM65" s="44"/>
      <x:c r="AN65" s="44"/>
      <x:c r="AO65" s="489"/>
      <x:c r="AP65" s="44"/>
      <x:c r="AQ65" s="44"/>
    </x:row>
    <x:row r="66" spans="1:43" customHeight="1">
      <x:c r="A66" s="44"/>
      <x:c r="B66" s="51"/>
      <x:c r="C66" s="51"/>
      <x:c r="D66" s="51"/>
      <x:c r="E66" s="51"/>
      <x:c r="H66" s="44"/>
      <x:c r="I66" s="44"/>
      <x:c r="J66" s="44"/>
      <x:c r="K66" s="44"/>
      <x:c r="L66" s="44"/>
      <x:c r="M66" s="489"/>
      <x:c r="N66" s="489"/>
      <x:c r="O66" s="489"/>
      <x:c r="P66" s="489"/>
      <x:c r="Q66" s="489"/>
      <x:c r="R66" s="44"/>
      <x:c r="S66" s="44"/>
      <x:c r="T66" s="44"/>
      <x:c r="U66" s="44"/>
      <x:c r="V66" s="44"/>
      <x:c r="W66" s="44"/>
      <x:c r="X66" s="51"/>
      <x:c r="Y66" s="44"/>
      <x:c r="Z66" s="489"/>
      <x:c r="AA66" s="489"/>
      <x:c r="AB66" s="44"/>
      <x:c r="AC66" s="489"/>
      <x:c r="AD66" s="489"/>
      <x:c r="AE66" s="44"/>
      <x:c r="AF66" s="44"/>
      <x:c r="AG66" s="44"/>
      <x:c r="AH66" s="44"/>
      <x:c r="AI66" s="44"/>
      <x:c r="AJ66" s="44"/>
      <x:c r="AK66" s="489"/>
      <x:c r="AL66" s="44"/>
      <x:c r="AM66" s="44"/>
      <x:c r="AN66" s="44"/>
      <x:c r="AO66" s="489"/>
      <x:c r="AP66" s="44"/>
      <x:c r="AQ66" s="44"/>
    </x:row>
    <x:row r="67" spans="1:43" customHeight="1">
      <x:c r="A67" s="44"/>
      <x:c r="B67" s="51"/>
      <x:c r="C67" s="51"/>
      <x:c r="D67" s="51"/>
      <x:c r="E67" s="51"/>
      <x:c r="H67" s="44"/>
      <x:c r="I67" s="44"/>
      <x:c r="J67" s="44"/>
      <x:c r="K67" s="44"/>
      <x:c r="L67" s="44"/>
      <x:c r="M67" s="489"/>
      <x:c r="N67" s="489"/>
      <x:c r="O67" s="489"/>
      <x:c r="P67" s="489"/>
      <x:c r="Q67" s="489"/>
      <x:c r="R67" s="44"/>
      <x:c r="S67" s="44"/>
      <x:c r="T67" s="44"/>
      <x:c r="U67" s="44"/>
      <x:c r="V67" s="44"/>
      <x:c r="W67" s="44"/>
      <x:c r="X67" s="51"/>
      <x:c r="Y67" s="44"/>
      <x:c r="Z67" s="489"/>
      <x:c r="AA67" s="489"/>
      <x:c r="AB67" s="44"/>
      <x:c r="AC67" s="489"/>
      <x:c r="AD67" s="489"/>
      <x:c r="AE67" s="44"/>
      <x:c r="AF67" s="44"/>
      <x:c r="AG67" s="44"/>
      <x:c r="AH67" s="44"/>
      <x:c r="AI67" s="44"/>
      <x:c r="AJ67" s="44"/>
      <x:c r="AK67" s="489"/>
      <x:c r="AL67" s="44"/>
      <x:c r="AM67" s="44"/>
      <x:c r="AN67" s="44"/>
      <x:c r="AO67" s="489"/>
      <x:c r="AP67" s="44"/>
      <x:c r="AQ67" s="44"/>
    </x:row>
    <x:row r="68" spans="1:43" customHeight="1">
      <x:c r="A68" s="44"/>
      <x:c r="B68" s="51"/>
      <x:c r="C68" s="51"/>
      <x:c r="D68" s="51"/>
      <x:c r="E68" s="51"/>
      <x:c r="H68" s="44"/>
      <x:c r="I68" s="44"/>
      <x:c r="J68" s="44"/>
      <x:c r="K68" s="44"/>
      <x:c r="L68" s="44"/>
      <x:c r="M68" s="489"/>
      <x:c r="N68" s="489"/>
      <x:c r="O68" s="489"/>
      <x:c r="P68" s="489"/>
      <x:c r="Q68" s="489"/>
      <x:c r="R68" s="44"/>
      <x:c r="S68" s="44"/>
      <x:c r="T68" s="44"/>
      <x:c r="U68" s="44"/>
      <x:c r="V68" s="44"/>
      <x:c r="W68" s="44"/>
      <x:c r="X68" s="51"/>
      <x:c r="Y68" s="44"/>
      <x:c r="Z68" s="489"/>
      <x:c r="AA68" s="489"/>
      <x:c r="AB68" s="44"/>
      <x:c r="AC68" s="489"/>
      <x:c r="AD68" s="489"/>
      <x:c r="AE68" s="44"/>
      <x:c r="AF68" s="44"/>
      <x:c r="AG68" s="44"/>
      <x:c r="AH68" s="44"/>
      <x:c r="AI68" s="44"/>
      <x:c r="AJ68" s="44"/>
      <x:c r="AK68" s="489"/>
      <x:c r="AL68" s="44"/>
      <x:c r="AM68" s="44"/>
      <x:c r="AN68" s="44"/>
      <x:c r="AO68" s="489"/>
      <x:c r="AP68" s="44"/>
      <x:c r="AQ68" s="44"/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autoFilter ref="A6:AQ51"/>
  <x:mergeCells count="43">
    <x:mergeCell ref="P4:P5"/>
    <x:mergeCell ref="V4:V5"/>
    <x:mergeCell ref="B42:G42"/>
    <x:mergeCell ref="B37:G37"/>
    <x:mergeCell ref="B32:G32"/>
    <x:mergeCell ref="B27:G27"/>
    <x:mergeCell ref="B12:G12"/>
    <x:mergeCell ref="B17:G17"/>
    <x:mergeCell ref="B22:G22"/>
    <x:mergeCell ref="K4:K5"/>
    <x:mergeCell ref="L4:L5"/>
    <x:mergeCell ref="B47:G47"/>
    <x:mergeCell ref="AO4:AQ4"/>
    <x:mergeCell ref="B7:G7"/>
    <x:mergeCell ref="Z4:AA4"/>
    <x:mergeCell ref="AC4:AD4"/>
    <x:mergeCell ref="AF4:AF5"/>
    <x:mergeCell ref="AI4:AI5"/>
    <x:mergeCell ref="T4:T5"/>
    <x:mergeCell ref="U4:U5"/>
    <x:mergeCell ref="W4:W5"/>
    <x:mergeCell ref="X4:X5"/>
    <x:mergeCell ref="F4:F5"/>
    <x:mergeCell ref="G4:G5"/>
    <x:mergeCell ref="AK4:AM4"/>
    <x:mergeCell ref="AG4:AG5"/>
    <x:mergeCell ref="S4:S5"/>
    <x:mergeCell ref="Z1:AA1"/>
    <x:mergeCell ref="AC1:AD1"/>
    <x:mergeCell ref="A1:X1"/>
    <x:mergeCell ref="J4:J5"/>
    <x:mergeCell ref="M4:M5"/>
    <x:mergeCell ref="H4:H5"/>
    <x:mergeCell ref="I4:I5"/>
    <x:mergeCell ref="A4:A5"/>
    <x:mergeCell ref="B4:B5"/>
    <x:mergeCell ref="C4:C5"/>
    <x:mergeCell ref="D4:D5"/>
    <x:mergeCell ref="E4:E5"/>
    <x:mergeCell ref="N4:N5"/>
    <x:mergeCell ref="O4:O5"/>
    <x:mergeCell ref="Q4:Q5"/>
    <x:mergeCell ref="R4:R5"/>
  </x:mergeCells>
  <x:conditionalFormatting sqref="F1:G7 F12:G12 F17:G17 F22:G22 F27:G27 F32:G32 F37:G37 F42:G42 F47:G47 F52:G1048576">
    <x:cfRule type="containsText" dxfId="786" priority="325" operator="containsText" text="직접입력">
      <x:formula>NOT(ISERROR(SEARCH("직접입력",F1)))</x:formula>
    </x:cfRule>
  </x:conditionalFormatting>
  <x:conditionalFormatting sqref="M1:M6 M52:M1048576">
    <x:cfRule type="containsText" dxfId="785" priority="324" operator="containsText" text="금액입력">
      <x:formula>NOT(ISERROR(SEARCH("금액입력",M1)))</x:formula>
    </x:cfRule>
  </x:conditionalFormatting>
  <x:conditionalFormatting sqref="J1:L3 J52:L1048576 J4:J51">
    <x:cfRule type="containsText" dxfId="784" priority="323" operator="containsText" text="부기명 입력">
      <x:formula>NOT(ISERROR(SEARCH("부기명 입력",J1)))</x:formula>
    </x:cfRule>
  </x:conditionalFormatting>
  <x:conditionalFormatting sqref="K4:L5">
    <x:cfRule type="containsText" dxfId="783" priority="322" operator="containsText" text="금액입력">
      <x:formula>NOT(ISERROR(SEARCH("금액입력",K4)))</x:formula>
    </x:cfRule>
  </x:conditionalFormatting>
  <x:conditionalFormatting sqref="K7:Q7">
    <x:cfRule type="containsText" dxfId="782" priority="249" operator="containsText" text="금액입력">
      <x:formula>NOT(ISERROR(SEARCH("금액입력",K7)))</x:formula>
    </x:cfRule>
  </x:conditionalFormatting>
  <x:conditionalFormatting sqref="M8:M11 M13:M16 M18:M21 M23:M26 M28:M31 M33:M36 M38:M41 M43:M46 M48:M51">
    <x:cfRule type="containsText" dxfId="781" priority="244" operator="containsText" text="금액입력">
      <x:formula>NOT(ISERROR(SEARCH("금액입력",M8)))</x:formula>
    </x:cfRule>
  </x:conditionalFormatting>
  <x:conditionalFormatting sqref="K12:Q12">
    <x:cfRule type="containsText" dxfId="780" priority="239" operator="containsText" text="금액입력">
      <x:formula>NOT(ISERROR(SEARCH("금액입력",K12)))</x:formula>
    </x:cfRule>
  </x:conditionalFormatting>
  <x:conditionalFormatting sqref="K17:Q17">
    <x:cfRule type="containsText" dxfId="779" priority="233" operator="containsText" text="금액입력">
      <x:formula>NOT(ISERROR(SEARCH("금액입력",K17)))</x:formula>
    </x:cfRule>
  </x:conditionalFormatting>
  <x:conditionalFormatting sqref="K22:Q22">
    <x:cfRule type="containsText" dxfId="778" priority="227" operator="containsText" text="금액입력">
      <x:formula>NOT(ISERROR(SEARCH("금액입력",K22)))</x:formula>
    </x:cfRule>
  </x:conditionalFormatting>
  <x:conditionalFormatting sqref="K27:Q27">
    <x:cfRule type="containsText" dxfId="777" priority="221" operator="containsText" text="금액입력">
      <x:formula>NOT(ISERROR(SEARCH("금액입력",K27)))</x:formula>
    </x:cfRule>
  </x:conditionalFormatting>
  <x:conditionalFormatting sqref="K32:Q32">
    <x:cfRule type="containsText" dxfId="776" priority="215" operator="containsText" text="금액입력">
      <x:formula>NOT(ISERROR(SEARCH("금액입력",K32)))</x:formula>
    </x:cfRule>
  </x:conditionalFormatting>
  <x:conditionalFormatting sqref="K37:Q37">
    <x:cfRule type="containsText" dxfId="775" priority="209" operator="containsText" text="금액입력">
      <x:formula>NOT(ISERROR(SEARCH("금액입력",K37)))</x:formula>
    </x:cfRule>
  </x:conditionalFormatting>
  <x:conditionalFormatting sqref="K42:Q42">
    <x:cfRule type="containsText" dxfId="774" priority="203" operator="containsText" text="금액입력">
      <x:formula>NOT(ISERROR(SEARCH("금액입력",K42)))</x:formula>
    </x:cfRule>
  </x:conditionalFormatting>
  <x:conditionalFormatting sqref="K47:Q47">
    <x:cfRule type="containsText" dxfId="773" priority="197" operator="containsText" text="금액입력">
      <x:formula>NOT(ISERROR(SEARCH("금액입력",K47)))</x:formula>
    </x:cfRule>
  </x:conditionalFormatting>
  <x:conditionalFormatting sqref="K6:L6">
    <x:cfRule type="containsText" dxfId="772" priority="192" operator="containsText" text="금액입력">
      <x:formula>NOT(ISERROR(SEARCH("금액입력",K6)))</x:formula>
    </x:cfRule>
  </x:conditionalFormatting>
  <x:conditionalFormatting sqref="B8:C11 B13:C16 B18:C21 B23:C26 B28:C31 B33:C36 B38:C41 B43:C46 B48:C51">
    <x:cfRule type="containsText" dxfId="771" priority="151" operator="containsText" text="직접입력">
      <x:formula>NOT(ISERROR(SEARCH("직접입력",B8)))</x:formula>
    </x:cfRule>
  </x:conditionalFormatting>
  <x:conditionalFormatting sqref="F8:G11">
    <x:cfRule type="containsText" dxfId="770" priority="100" operator="containsText" text="직접입력">
      <x:formula>NOT(ISERROR(SEARCH("직접입력",F8)))</x:formula>
    </x:cfRule>
  </x:conditionalFormatting>
  <x:conditionalFormatting sqref="K8:K11">
    <x:cfRule type="containsText" dxfId="769" priority="83" operator="containsText" text="부기명 입력">
      <x:formula>NOT(ISERROR(SEARCH("부기명 입력",K8)))</x:formula>
    </x:cfRule>
  </x:conditionalFormatting>
  <x:conditionalFormatting sqref="K8:K11">
    <x:cfRule type="containsText" dxfId="768" priority="82" operator="containsText" text="금액입력">
      <x:formula>NOT(ISERROR(SEARCH("금액입력",K8)))</x:formula>
    </x:cfRule>
  </x:conditionalFormatting>
  <x:conditionalFormatting sqref="L8:L11">
    <x:cfRule type="containsText" dxfId="767" priority="81" operator="containsText" text="금액입력">
      <x:formula>NOT(ISERROR(SEARCH("금액입력",L8)))</x:formula>
    </x:cfRule>
  </x:conditionalFormatting>
  <x:conditionalFormatting sqref="F13:G16">
    <x:cfRule type="containsText" dxfId="766" priority="32" operator="containsText" text="직접입력">
      <x:formula>NOT(ISERROR(SEARCH("직접입력",F13)))</x:formula>
    </x:cfRule>
  </x:conditionalFormatting>
  <x:conditionalFormatting sqref="F18:G21">
    <x:cfRule type="containsText" dxfId="765" priority="31" operator="containsText" text="직접입력">
      <x:formula>NOT(ISERROR(SEARCH("직접입력",F18)))</x:formula>
    </x:cfRule>
  </x:conditionalFormatting>
  <x:conditionalFormatting sqref="F23:G26">
    <x:cfRule type="containsText" dxfId="764" priority="30" operator="containsText" text="직접입력">
      <x:formula>NOT(ISERROR(SEARCH("직접입력",F23)))</x:formula>
    </x:cfRule>
  </x:conditionalFormatting>
  <x:conditionalFormatting sqref="F28:G31">
    <x:cfRule type="containsText" dxfId="763" priority="29" operator="containsText" text="직접입력">
      <x:formula>NOT(ISERROR(SEARCH("직접입력",F28)))</x:formula>
    </x:cfRule>
  </x:conditionalFormatting>
  <x:conditionalFormatting sqref="F33:G36">
    <x:cfRule type="containsText" dxfId="762" priority="28" operator="containsText" text="직접입력">
      <x:formula>NOT(ISERROR(SEARCH("직접입력",F33)))</x:formula>
    </x:cfRule>
  </x:conditionalFormatting>
  <x:conditionalFormatting sqref="F38:G41">
    <x:cfRule type="containsText" dxfId="761" priority="27" operator="containsText" text="직접입력">
      <x:formula>NOT(ISERROR(SEARCH("직접입력",F38)))</x:formula>
    </x:cfRule>
  </x:conditionalFormatting>
  <x:conditionalFormatting sqref="F43:G46">
    <x:cfRule type="containsText" dxfId="760" priority="26" operator="containsText" text="직접입력">
      <x:formula>NOT(ISERROR(SEARCH("직접입력",F43)))</x:formula>
    </x:cfRule>
  </x:conditionalFormatting>
  <x:conditionalFormatting sqref="F48:G51">
    <x:cfRule type="containsText" dxfId="759" priority="25" operator="containsText" text="직접입력">
      <x:formula>NOT(ISERROR(SEARCH("직접입력",F48)))</x:formula>
    </x:cfRule>
  </x:conditionalFormatting>
  <x:conditionalFormatting sqref="K13:K16">
    <x:cfRule type="containsText" dxfId="758" priority="24" operator="containsText" text="부기명 입력">
      <x:formula>NOT(ISERROR(SEARCH("부기명 입력",K13)))</x:formula>
    </x:cfRule>
  </x:conditionalFormatting>
  <x:conditionalFormatting sqref="K13:K16">
    <x:cfRule type="containsText" dxfId="757" priority="23" operator="containsText" text="금액입력">
      <x:formula>NOT(ISERROR(SEARCH("금액입력",K13)))</x:formula>
    </x:cfRule>
  </x:conditionalFormatting>
  <x:conditionalFormatting sqref="L13:L16">
    <x:cfRule type="containsText" dxfId="756" priority="22" operator="containsText" text="금액입력">
      <x:formula>NOT(ISERROR(SEARCH("금액입력",L13)))</x:formula>
    </x:cfRule>
  </x:conditionalFormatting>
  <x:conditionalFormatting sqref="K18:K21">
    <x:cfRule type="containsText" dxfId="755" priority="21" operator="containsText" text="부기명 입력">
      <x:formula>NOT(ISERROR(SEARCH("부기명 입력",K18)))</x:formula>
    </x:cfRule>
  </x:conditionalFormatting>
  <x:conditionalFormatting sqref="K18:K21">
    <x:cfRule type="containsText" dxfId="754" priority="20" operator="containsText" text="금액입력">
      <x:formula>NOT(ISERROR(SEARCH("금액입력",K18)))</x:formula>
    </x:cfRule>
  </x:conditionalFormatting>
  <x:conditionalFormatting sqref="L18:L21">
    <x:cfRule type="containsText" dxfId="753" priority="19" operator="containsText" text="금액입력">
      <x:formula>NOT(ISERROR(SEARCH("금액입력",L18)))</x:formula>
    </x:cfRule>
  </x:conditionalFormatting>
  <x:conditionalFormatting sqref="K23:K26">
    <x:cfRule type="containsText" dxfId="752" priority="18" operator="containsText" text="부기명 입력">
      <x:formula>NOT(ISERROR(SEARCH("부기명 입력",K23)))</x:formula>
    </x:cfRule>
  </x:conditionalFormatting>
  <x:conditionalFormatting sqref="K23:K26">
    <x:cfRule type="containsText" dxfId="751" priority="17" operator="containsText" text="금액입력">
      <x:formula>NOT(ISERROR(SEARCH("금액입력",K23)))</x:formula>
    </x:cfRule>
  </x:conditionalFormatting>
  <x:conditionalFormatting sqref="L23:L26">
    <x:cfRule type="containsText" dxfId="750" priority="16" operator="containsText" text="금액입력">
      <x:formula>NOT(ISERROR(SEARCH("금액입력",L23)))</x:formula>
    </x:cfRule>
  </x:conditionalFormatting>
  <x:conditionalFormatting sqref="K28:K31">
    <x:cfRule type="containsText" dxfId="749" priority="15" operator="containsText" text="부기명 입력">
      <x:formula>NOT(ISERROR(SEARCH("부기명 입력",K28)))</x:formula>
    </x:cfRule>
  </x:conditionalFormatting>
  <x:conditionalFormatting sqref="K28:K31">
    <x:cfRule type="containsText" dxfId="748" priority="14" operator="containsText" text="금액입력">
      <x:formula>NOT(ISERROR(SEARCH("금액입력",K28)))</x:formula>
    </x:cfRule>
  </x:conditionalFormatting>
  <x:conditionalFormatting sqref="L28:L31">
    <x:cfRule type="containsText" dxfId="747" priority="13" operator="containsText" text="금액입력">
      <x:formula>NOT(ISERROR(SEARCH("금액입력",L28)))</x:formula>
    </x:cfRule>
  </x:conditionalFormatting>
  <x:conditionalFormatting sqref="K33:K36">
    <x:cfRule type="containsText" dxfId="746" priority="12" operator="containsText" text="부기명 입력">
      <x:formula>NOT(ISERROR(SEARCH("부기명 입력",K33)))</x:formula>
    </x:cfRule>
  </x:conditionalFormatting>
  <x:conditionalFormatting sqref="K33:K36">
    <x:cfRule type="containsText" dxfId="745" priority="11" operator="containsText" text="금액입력">
      <x:formula>NOT(ISERROR(SEARCH("금액입력",K33)))</x:formula>
    </x:cfRule>
  </x:conditionalFormatting>
  <x:conditionalFormatting sqref="L33:L36">
    <x:cfRule type="containsText" dxfId="744" priority="10" operator="containsText" text="금액입력">
      <x:formula>NOT(ISERROR(SEARCH("금액입력",L33)))</x:formula>
    </x:cfRule>
  </x:conditionalFormatting>
  <x:conditionalFormatting sqref="K38:K41">
    <x:cfRule type="containsText" dxfId="743" priority="9" operator="containsText" text="부기명 입력">
      <x:formula>NOT(ISERROR(SEARCH("부기명 입력",K38)))</x:formula>
    </x:cfRule>
  </x:conditionalFormatting>
  <x:conditionalFormatting sqref="K38:K41">
    <x:cfRule type="containsText" dxfId="742" priority="8" operator="containsText" text="금액입력">
      <x:formula>NOT(ISERROR(SEARCH("금액입력",K38)))</x:formula>
    </x:cfRule>
  </x:conditionalFormatting>
  <x:conditionalFormatting sqref="L38:L41">
    <x:cfRule type="containsText" dxfId="741" priority="7" operator="containsText" text="금액입력">
      <x:formula>NOT(ISERROR(SEARCH("금액입력",L38)))</x:formula>
    </x:cfRule>
  </x:conditionalFormatting>
  <x:conditionalFormatting sqref="K43:K46">
    <x:cfRule type="containsText" dxfId="740" priority="6" operator="containsText" text="부기명 입력">
      <x:formula>NOT(ISERROR(SEARCH("부기명 입력",K43)))</x:formula>
    </x:cfRule>
  </x:conditionalFormatting>
  <x:conditionalFormatting sqref="K43:K46">
    <x:cfRule type="containsText" dxfId="739" priority="5" operator="containsText" text="금액입력">
      <x:formula>NOT(ISERROR(SEARCH("금액입력",K43)))</x:formula>
    </x:cfRule>
  </x:conditionalFormatting>
  <x:conditionalFormatting sqref="L43:L46">
    <x:cfRule type="containsText" dxfId="738" priority="4" operator="containsText" text="금액입력">
      <x:formula>NOT(ISERROR(SEARCH("금액입력",L43)))</x:formula>
    </x:cfRule>
  </x:conditionalFormatting>
  <x:conditionalFormatting sqref="K48:K51">
    <x:cfRule type="containsText" dxfId="737" priority="3" operator="containsText" text="부기명 입력">
      <x:formula>NOT(ISERROR(SEARCH("부기명 입력",K48)))</x:formula>
    </x:cfRule>
  </x:conditionalFormatting>
  <x:conditionalFormatting sqref="K48:K51">
    <x:cfRule type="containsText" dxfId="736" priority="2" operator="containsText" text="금액입력">
      <x:formula>NOT(ISERROR(SEARCH("금액입력",K48)))</x:formula>
    </x:cfRule>
  </x:conditionalFormatting>
  <x:conditionalFormatting sqref="L48:L51">
    <x:cfRule type="containsText" dxfId="735" priority="1" operator="containsText" text="금액입력">
      <x:formula>NOT(ISERROR(SEARCH("금액입력",L48)))</x:formula>
    </x:cfRule>
  </x:conditionalFormatting>
  <x:dataValidations count="4">
    <x:dataValidation type="list" allowBlank="1" showInputMessage="1" showErrorMessage="1" sqref="U43:U46 U38:U41 U8:U11 U13:U16 U18:U21 U23:U26 U28:U31 U33:U36 U48:U51">
      <x:formula1>"동의, 부동의, 미실시"</x:formula1>
    </x:dataValidation>
    <x:dataValidation type="list" allowBlank="1" showInputMessage="1" showErrorMessage="1" sqref="AG13:AG16 AG38:AG41 AG18:AG21 AG23:AG26 AG28:AG31 AG33:AG36 AG43:AG46 AG8:AG11 AG48:AG51">
      <x:formula1>"도비,국비,균특,기금,특교,소교"</x:formula1>
    </x:dataValidation>
    <x:dataValidation type="list" allowBlank="1" showInputMessage="1" showErrorMessage="1" sqref="E6:E6">
      <x:formula1>"본예산, 신규"</x:formula1>
    </x:dataValidation>
    <x:dataValidation type="list" allowBlank="1" showInputMessage="1" showErrorMessage="1" sqref="E33:E36 E38:E41 E43:E46 E8:E11 E13:E16 E18:E21 E23:E26 E28:E31 E48:E51">
      <x:formula1>"본예산, 1추, 2추, 신규"</x:formula1>
    </x:dataValidation>
  </x:dataValidation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24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  <x:legacyDrawing r:id="rId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>
    <x:tabColor rgb="ff00b0f0"/>
    <x:pageSetUpPr autoPageBreaks="1" fitToPage="1"/>
  </x:sheetPr>
  <x:dimension ref="A1:AQ82"/>
  <x:sheetViews>
    <x:sheetView view="pageBreakPreview" topLeftCell="D1" zoomScale="40" zoomScaleNormal="40" zoomScaleSheetLayoutView="40" workbookViewId="0">
      <x:pane xSplit="0" ySplit="5" topLeftCell="D30" activePane="bottomLeft" state="frozen"/>
      <x:selection pane="bottomLeft" activeCell="AB37" activeCellId="0" sqref="AB37:AB37"/>
    </x:sheetView>
  </x:sheetViews>
  <x:sheetFormatPr defaultColWidth="9" defaultRowHeight="50.100000000000001" customHeight="1"/>
  <x:cols>
    <x:col min="1" max="1" width="7.875" style="23" bestFit="1" customWidth="1"/>
    <x:col min="2" max="2" width="22.375" style="49" bestFit="1" customWidth="1"/>
    <x:col min="3" max="3" width="20.625" style="49" customWidth="1"/>
    <x:col min="4" max="4" width="19.75" style="49" customWidth="1"/>
    <x:col min="5" max="5" width="10.375" style="49" bestFit="1" customWidth="1"/>
    <x:col min="6" max="7" width="15.625" style="21" customWidth="1"/>
    <x:col min="8" max="8" width="20.375" style="27" bestFit="1" customWidth="1"/>
    <x:col min="9" max="10" width="16.125" style="27" bestFit="1" customWidth="1"/>
    <x:col min="11" max="11" width="37" style="27" customWidth="1"/>
    <x:col min="12" max="12" width="33.5" style="27" customWidth="1"/>
    <x:col min="13" max="14" width="25.625" style="27" customWidth="1"/>
    <x:col min="15" max="18" width="25.625" style="454" customWidth="1"/>
    <x:col min="19" max="19" width="25.625" style="478" customWidth="1"/>
    <x:col min="20" max="20" width="12.625" style="21" customWidth="1"/>
    <x:col min="21" max="21" width="19.625" style="32" bestFit="1" customWidth="1"/>
    <x:col min="22" max="22" width="26.625" style="33" bestFit="1" customWidth="1"/>
    <x:col min="23" max="23" width="14.875" style="34" bestFit="1" customWidth="1"/>
    <x:col min="24" max="24" width="25.625" style="22" customWidth="1"/>
    <x:col min="25" max="25" width="16.5" style="22" customWidth="1"/>
    <x:col min="26" max="26" width="16.5" style="21" bestFit="1" customWidth="1"/>
    <x:col min="27" max="27" width="3.625" style="21" customWidth="1"/>
    <x:col min="28" max="29" width="25.625" style="454" customWidth="1"/>
    <x:col min="30" max="30" width="17.875" style="21" bestFit="1" customWidth="1"/>
    <x:col min="31" max="31" width="4.5" style="1" customWidth="1"/>
    <x:col min="32" max="33" width="25.625" style="454" customWidth="1"/>
    <x:col min="34" max="34" width="17.875" style="21" bestFit="1" customWidth="1"/>
    <x:col min="35" max="35" width="2.625" style="21" customWidth="1"/>
    <x:col min="36" max="36" width="20.625" style="21" customWidth="1"/>
    <x:col min="37" max="37" width="7.875" style="21" bestFit="1" customWidth="1"/>
    <x:col min="38" max="38" width="15.875" style="21" customWidth="1"/>
    <x:col min="39" max="39" width="11.25" style="44" customWidth="1"/>
    <x:col min="40" max="40" width="10.375" style="44" customWidth="1"/>
    <x:col min="41" max="41" width="2.625" style="21" customWidth="1"/>
    <x:col min="42" max="42" width="10.875" style="21" customWidth="1"/>
    <x:col min="43" max="43" width="9" style="21" customWidth="1"/>
    <x:col min="44" max="16384" width="9" style="21"/>
  </x:cols>
  <x:sheetData>
    <x:row r="1" spans="1:40" ht="93" customHeight="1">
      <x:c r="A1" s="914" t="s">
        <x:v>1436</x:v>
      </x:c>
      <x:c r="B1" s="914"/>
      <x:c r="C1" s="914"/>
      <x:c r="D1" s="914"/>
      <x:c r="E1" s="914"/>
      <x:c r="F1" s="914"/>
      <x:c r="G1" s="914"/>
      <x:c r="H1" s="914"/>
      <x:c r="I1" s="914"/>
      <x:c r="J1" s="914"/>
      <x:c r="K1" s="914"/>
      <x:c r="L1" s="914"/>
      <x:c r="M1" s="914"/>
      <x:c r="N1" s="914"/>
      <x:c r="O1" s="914"/>
      <x:c r="P1" s="914"/>
      <x:c r="Q1" s="914"/>
      <x:c r="R1" s="914"/>
      <x:c r="S1" s="914"/>
      <x:c r="T1" s="914"/>
      <x:c r="U1" s="914"/>
      <x:c r="V1" s="914"/>
      <x:c r="W1" s="914"/>
      <x:c r="X1" s="914"/>
      <x:c r="Y1" s="914"/>
      <x:c r="Z1" s="914"/>
      <x:c r="AB1" s="908" t="s">
        <x:v>1469</x:v>
      </x:c>
      <x:c r="AC1" s="909"/>
      <x:c r="AD1" s="910"/>
      <x:c r="AF1" s="911" t="s">
        <x:v>1469</x:v>
      </x:c>
      <x:c r="AG1" s="912"/>
      <x:c r="AH1" s="913"/>
      <x:c r="AJ1" s="905" t="s">
        <x:v>2</x:v>
      </x:c>
      <x:c r="AK1" s="906"/>
      <x:c r="AL1" s="906"/>
      <x:c r="AM1" s="906"/>
      <x:c r="AN1" s="907"/>
    </x:row>
    <x:row r="2" spans="2:34" ht="39.75" customHeight="1">
      <x:c r="B2" s="915"/>
      <x:c r="C2" s="915"/>
      <x:c r="D2" s="915"/>
      <x:c r="E2" s="915"/>
      <x:c r="F2" s="915"/>
      <x:c r="G2" s="915"/>
      <x:c r="H2" s="915"/>
      <x:c r="I2" s="915"/>
      <x:c r="J2" s="915"/>
      <x:c r="K2" s="915"/>
      <x:c r="L2" s="915"/>
      <x:c r="M2" s="550"/>
      <x:c r="N2" s="550"/>
      <x:c r="O2" s="496"/>
      <x:c r="P2" s="473">
        <x:f>SUM(P6:P155)/2</x:f>
        <x:v>-8469500</x:v>
      </x:c>
      <x:c r="Q2" s="473">
        <x:f>SUM(Q6:Q155)/2</x:f>
        <x:v>32488931</x:v>
      </x:c>
      <x:c r="R2" s="473">
        <x:f>SUM(R6:R155)/2</x:f>
        <x:v>0</x:v>
      </x:c>
      <x:c r="S2" s="473">
        <x:f>SUM(S6:S155)/2</x:f>
        <x:v>40958431</x:v>
      </x:c>
      <x:c r="T2" s="74"/>
      <x:c r="U2" s="31"/>
      <x:c r="V2" s="31"/>
      <x:c r="W2" s="35"/>
      <x:c r="X2" s="71"/>
      <x:c r="Y2" s="71"/>
      <x:c r="Z2" s="71" t="s">
        <x:v>1513</x:v>
      </x:c>
      <x:c r="AB2" s="492" t="str">
        <x:f>IF(AB5='4. 특입'!Z6,"OK","@@")</x:f>
        <x:v>@@</x:v>
      </x:c>
      <x:c r="AC2" s="492" t="str">
        <x:f>IF(AC5='4. 특입'!AA6,"OK","@@")</x:f>
        <x:v>@@</x:v>
      </x:c>
      <x:c r="AD2" s="386"/>
      <x:c r="AE2" s="336"/>
      <x:c r="AF2" s="492" t="str">
        <x:f>IF(AF5='4. 특입'!AC6,"OK","@@")</x:f>
        <x:v>OK</x:v>
      </x:c>
      <x:c r="AG2" s="492" t="str">
        <x:f>IF(AG5='4. 특입'!AD6,"OK","@@")</x:f>
        <x:v>OK</x:v>
      </x:c>
      <x:c r="AH2" s="24"/>
    </x:row>
    <x:row r="3" spans="1:42" s="329" customFormat="1" ht="60" customHeight="1">
      <x:c r="A3" s="893" t="s">
        <x:v>116</x:v>
      </x:c>
      <x:c r="B3" s="904" t="s">
        <x:v>1933</x:v>
      </x:c>
      <x:c r="C3" s="904" t="s">
        <x:v>74</x:v>
      </x:c>
      <x:c r="D3" s="904" t="s">
        <x:v>94</x:v>
      </x:c>
      <x:c r="E3" s="894" t="s">
        <x:v>1320</x:v>
      </x:c>
      <x:c r="F3" s="894" t="s">
        <x:v>1646</x:v>
      </x:c>
      <x:c r="G3" s="894" t="s">
        <x:v>1620</x:v>
      </x:c>
      <x:c r="H3" s="900" t="s">
        <x:v>725</x:v>
      </x:c>
      <x:c r="I3" s="893" t="s">
        <x:v>115</x:v>
      </x:c>
      <x:c r="J3" s="893" t="s">
        <x:v>104</x:v>
      </x:c>
      <x:c r="K3" s="893" t="s">
        <x:v>854</x:v>
      </x:c>
      <x:c r="L3" s="893" t="s">
        <x:v>127</x:v>
      </x:c>
      <x:c r="M3" s="889" t="s">
        <x:v>1412</x:v>
      </x:c>
      <x:c r="N3" s="889" t="s">
        <x:v>1678</x:v>
      </x:c>
      <x:c r="O3" s="889" t="s">
        <x:v>443</x:v>
      </x:c>
      <x:c r="P3" s="902" t="s">
        <x:v>1661</x:v>
      </x:c>
      <x:c r="Q3" s="891" t="s">
        <x:v>1357</x:v>
      </x:c>
      <x:c r="R3" s="902" t="s">
        <x:v>1636</x:v>
      </x:c>
      <x:c r="S3" s="891" t="s">
        <x:v>1359</x:v>
      </x:c>
      <x:c r="T3" s="899" t="s">
        <x:v>1543</x:v>
      </x:c>
      <x:c r="U3" s="891" t="s">
        <x:v>1550</x:v>
      </x:c>
      <x:c r="V3" s="891" t="s">
        <x:v>1549</x:v>
      </x:c>
      <x:c r="W3" s="891" t="s">
        <x:v>1619</x:v>
      </x:c>
      <x:c r="X3" s="899" t="s">
        <x:v>1492</x:v>
      </x:c>
      <x:c r="Y3" s="899" t="s">
        <x:v>551</x:v>
      </x:c>
      <x:c r="Z3" s="899" t="s">
        <x:v>1514</x:v>
      </x:c>
      <x:c r="AB3" s="897" t="s">
        <x:v>1522</x:v>
      </x:c>
      <x:c r="AC3" s="897"/>
      <x:c r="AD3" s="897"/>
      <x:c r="AF3" s="898" t="s">
        <x:v>1517</x:v>
      </x:c>
      <x:c r="AG3" s="898"/>
      <x:c r="AH3" s="898"/>
      <x:c r="AJ3" s="896" t="s">
        <x:v>1322</x:v>
      </x:c>
      <x:c r="AK3" s="895" t="s">
        <x:v>1527</x:v>
      </x:c>
      <x:c r="AL3" s="895" t="s">
        <x:v>64</x:v>
      </x:c>
      <x:c r="AM3" s="896" t="s">
        <x:v>98</x:v>
      </x:c>
      <x:c r="AN3" s="895" t="s">
        <x:v>1039</x:v>
      </x:c>
      <x:c r="AP3" s="895" t="s">
        <x:v>1326</x:v>
      </x:c>
    </x:row>
    <x:row r="4" spans="1:42" s="329" customFormat="1" ht="60" customHeight="1">
      <x:c r="A4" s="893"/>
      <x:c r="B4" s="904"/>
      <x:c r="C4" s="904"/>
      <x:c r="D4" s="904"/>
      <x:c r="E4" s="894"/>
      <x:c r="F4" s="894"/>
      <x:c r="G4" s="894"/>
      <x:c r="H4" s="901"/>
      <x:c r="I4" s="893"/>
      <x:c r="J4" s="893"/>
      <x:c r="K4" s="893"/>
      <x:c r="L4" s="893"/>
      <x:c r="M4" s="890"/>
      <x:c r="N4" s="890"/>
      <x:c r="O4" s="890"/>
      <x:c r="P4" s="903"/>
      <x:c r="Q4" s="892"/>
      <x:c r="R4" s="903"/>
      <x:c r="S4" s="892"/>
      <x:c r="T4" s="899"/>
      <x:c r="U4" s="891"/>
      <x:c r="V4" s="891"/>
      <x:c r="W4" s="891"/>
      <x:c r="X4" s="899"/>
      <x:c r="Y4" s="899"/>
      <x:c r="Z4" s="893"/>
      <x:c r="AB4" s="493" t="s">
        <x:v>1325</x:v>
      </x:c>
      <x:c r="AC4" s="493" t="s">
        <x:v>91</x:v>
      </x:c>
      <x:c r="AD4" s="351" t="s">
        <x:v>1029</x:v>
      </x:c>
      <x:c r="AF4" s="480" t="s">
        <x:v>1325</x:v>
      </x:c>
      <x:c r="AG4" s="480" t="s">
        <x:v>91</x:v>
      </x:c>
      <x:c r="AH4" s="379" t="s">
        <x:v>1029</x:v>
      </x:c>
      <x:c r="AJ4" s="896"/>
      <x:c r="AK4" s="895"/>
      <x:c r="AL4" s="895"/>
      <x:c r="AM4" s="896"/>
      <x:c r="AN4" s="895"/>
      <x:c r="AP4" s="896"/>
    </x:row>
    <x:row r="5" spans="1:42" s="430" customFormat="1" ht="80.099999999999994" customHeight="1">
      <x:c r="A5" s="432"/>
      <x:c r="B5" s="181" t="s">
        <x:v>1323</x:v>
      </x:c>
      <x:c r="C5" s="423" t="s">
        <x:v>100</x:v>
      </x:c>
      <x:c r="D5" s="424"/>
      <x:c r="E5" s="425"/>
      <x:c r="F5" s="433"/>
      <x:c r="G5" s="433"/>
      <x:c r="H5" s="434" t="s">
        <x:v>100</x:v>
      </x:c>
      <x:c r="I5" s="434" t="s">
        <x:v>100</x:v>
      </x:c>
      <x:c r="J5" s="434" t="s">
        <x:v>100</x:v>
      </x:c>
      <x:c r="K5" s="434" t="s">
        <x:v>100</x:v>
      </x:c>
      <x:c r="L5" s="380" t="str">
        <x:f>SUBTOTAL(3,L$7:L$1991)&amp;"건"</x:f>
        <x:v>5건</x:v>
      </x:c>
      <x:c r="M5" s="497">
        <x:f t="shared" ref="M5:N5" si="0">SUBTOTAL(9,M$6:M$1991)</x:f>
        <x:v>15260900</x:v>
      </x:c>
      <x:c r="N5" s="497">
        <x:f t="shared" si="0"/>
        <x:v>25697531</x:v>
      </x:c>
      <x:c r="O5" s="497">
        <x:f>SUBTOTAL(9,O$6:O$1991)</x:f>
        <x:v>40958431</x:v>
      </x:c>
      <x:c r="P5" s="497">
        <x:f>SUBTOTAL(9,P$6:P$1991)</x:f>
        <x:v>-8469500</x:v>
      </x:c>
      <x:c r="Q5" s="497">
        <x:f>SUBTOTAL(9,Q$6:Q$1991)</x:f>
        <x:v>32488931</x:v>
      </x:c>
      <x:c r="R5" s="497">
        <x:f>SUBTOTAL(9,R$6:R$1991)</x:f>
        <x:v>0</x:v>
      </x:c>
      <x:c r="S5" s="497">
        <x:f>SUBTOTAL(9,S$6:S$1991)</x:f>
        <x:v>40958431</x:v>
      </x:c>
      <x:c r="T5" s="182"/>
      <x:c r="U5" s="435"/>
      <x:c r="V5" s="436"/>
      <x:c r="W5" s="432"/>
      <x:c r="X5" s="437"/>
      <x:c r="Y5" s="437"/>
      <x:c r="Z5" s="438"/>
      <x:c r="AA5" s="39"/>
      <x:c r="AB5" s="497">
        <x:f>SUBTOTAL(9,AB$6:AB$2000)</x:f>
        <x:v>1134501</x:v>
      </x:c>
      <x:c r="AC5" s="497">
        <x:f>SUBTOTAL(9,AC$6:AC$2000)</x:f>
        <x:v>-9604001</x:v>
      </x:c>
      <x:c r="AD5" s="352" t="str">
        <x:f>IF(COUNTIF(AD$7:AD$2000,"@@")&gt;0,"@@","OK")</x:f>
        <x:v>OK</x:v>
      </x:c>
      <x:c r="AE5" s="439"/>
      <x:c r="AF5" s="497">
        <x:f>SUBTOTAL(9,AF$6:AF$2000)</x:f>
        <x:v>0</x:v>
      </x:c>
      <x:c r="AG5" s="497">
        <x:f>SUBTOTAL(9,AG$6:AG$2000)</x:f>
        <x:v>0</x:v>
      </x:c>
      <x:c r="AH5" s="352" t="str">
        <x:f>IF(COUNTIF(AH$7:AH$2000,"@@")&gt;0,"@@","OK")</x:f>
        <x:v>OK</x:v>
      </x:c>
      <x:c r="AI5" s="39"/>
      <x:c r="AJ5" s="352"/>
      <x:c r="AK5" s="382"/>
      <x:c r="AL5" s="352" t="str">
        <x:f>IF(COUNTIF(AL$7:AL$2000,"@@")&gt;0,"@@","OK")</x:f>
        <x:v>OK</x:v>
      </x:c>
      <x:c r="AM5" s="440"/>
      <x:c r="AN5" s="352" t="str">
        <x:f>IF(COUNTIF(AN$7:AN$2000,"@@")&gt;0,"@@","OK")</x:f>
        <x:v>OK</x:v>
      </x:c>
      <x:c r="AO5" s="39"/>
      <x:c r="AP5" s="352"/>
    </x:row>
    <x:row r="6" spans="1:42" ht="60" customHeight="1">
      <x:c r="A6" s="174"/>
      <x:c r="B6" s="888" t="s">
        <x:v>1495</x:v>
      </x:c>
      <x:c r="C6" s="888"/>
      <x:c r="D6" s="888"/>
      <x:c r="E6" s="888"/>
      <x:c r="F6" s="888"/>
      <x:c r="G6" s="888"/>
      <x:c r="H6" s="175"/>
      <x:c r="I6" s="175"/>
      <x:c r="J6" s="175"/>
      <x:c r="K6" s="175"/>
      <x:c r="L6" s="353" t="str">
        <x:f>SUBTOTAL(3,L7:L10)&amp;"건"</x:f>
        <x:v>0건</x:v>
      </x:c>
      <x:c r="M6" s="477">
        <x:f t="shared" ref="M6:S6" si="1">SUBTOTAL(9,M7:M10)</x:f>
        <x:v>0</x:v>
      </x:c>
      <x:c r="N6" s="477">
        <x:f t="shared" si="1"/>
        <x:v>0</x:v>
      </x:c>
      <x:c r="O6" s="477">
        <x:f t="shared" si="1"/>
        <x:v>0</x:v>
      </x:c>
      <x:c r="P6" s="477">
        <x:f t="shared" si="1"/>
        <x:v>0</x:v>
      </x:c>
      <x:c r="Q6" s="477">
        <x:f t="shared" si="1"/>
        <x:v>0</x:v>
      </x:c>
      <x:c r="R6" s="477">
        <x:f t="shared" si="1"/>
        <x:v>0</x:v>
      </x:c>
      <x:c r="S6" s="477">
        <x:f t="shared" si="1"/>
        <x:v>0</x:v>
      </x:c>
      <x:c r="T6" s="174"/>
      <x:c r="U6" s="176"/>
      <x:c r="V6" s="176"/>
      <x:c r="W6" s="177"/>
      <x:c r="X6" s="178"/>
      <x:c r="Y6" s="178"/>
      <x:c r="Z6" s="82"/>
      <x:c r="AA6" s="44"/>
      <x:c r="AB6" s="464">
        <x:f>SUBTOTAL(9,AB7:AB10)</x:f>
        <x:v>0</x:v>
      </x:c>
      <x:c r="AC6" s="464">
        <x:f>SUBTOTAL(9,AC7:AC10)</x:f>
        <x:v>0</x:v>
      </x:c>
      <x:c r="AD6" s="556" t="str">
        <x:f>IF(COUNTIF(AD7:AD10,"@@")&gt;0,"@@","OK")</x:f>
        <x:v>OK</x:v>
      </x:c>
      <x:c r="AF6" s="464">
        <x:f>SUBTOTAL(9,AF7:AF10)</x:f>
        <x:v>0</x:v>
      </x:c>
      <x:c r="AG6" s="464">
        <x:f>SUBTOTAL(9,AG7:AG10)</x:f>
        <x:v>0</x:v>
      </x:c>
      <x:c r="AH6" s="556" t="str">
        <x:f>IF(COUNTIF(AH7:AH10,"@@")&gt;0,"@@","OK")</x:f>
        <x:v>OK</x:v>
      </x:c>
      <x:c r="AI6" s="37"/>
      <x:c r="AJ6" s="82"/>
      <x:c r="AK6" s="82"/>
      <x:c r="AL6" s="556" t="str">
        <x:f>IF(COUNTIF(AL7:AL10,"@@")&gt;0,"@@","OK")</x:f>
        <x:v>OK</x:v>
      </x:c>
      <x:c r="AM6" s="82"/>
      <x:c r="AN6" s="556" t="str">
        <x:f>IF(COUNTIF(AN7:AN10,"@@")&gt;0,"@@","OK")</x:f>
        <x:v>OK</x:v>
      </x:c>
      <x:c r="AO6" s="37"/>
      <x:c r="AP6" s="82"/>
    </x:row>
    <x:row r="7" spans="1:43" ht="80.099999999999994" customHeight="1">
      <x:c r="A7" s="155" t="str">
        <x:f>IF(D7="","",COUNTA($C$6:C7)-COUNTBLANK($C$6:C7)+1)</x:f>
        <x:v/>
      </x:c>
      <x:c r="B7" s="156" t="str">
        <x: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x:f>
        <x:v/>
      </x:c>
      <x:c r="C7" s="156" t="str">
        <x:f>IF(D7="","",IF(OR(D7="교육지원과"),"소방재난본부",VLOOKUP(D7,구분표!$A$3:$C$258,3,)))</x:f>
        <x:v/>
      </x:c>
      <x:c r="D7" s="226"/>
      <x:c r="E7" s="213" t="s">
        <x:v>407</x:v>
      </x:c>
      <x:c r="F7" s="388" t="str">
        <x:f>IF($E7="","",IF($E7="2추","직접입력","-"))</x:f>
        <x:v>-</x:v>
      </x:c>
      <x:c r="G7" s="388" t="str">
        <x:f>IF($E7="","",IF($E7="2추","직접입력","-"))</x:f>
        <x:v>-</x:v>
      </x:c>
      <x:c r="H7" s="213"/>
      <x:c r="I7" s="156" t="str">
        <x:f>IF(H7="","",VLOOKUP($H7,구분표!$K$3:$M$151,2,FALSE))</x:f>
        <x:v/>
      </x:c>
      <x:c r="J7" s="156" t="str">
        <x:f>IF(I7="","",VLOOKUP($H7,구분표!$K$3:$M$151,3,FALSE))</x:f>
        <x:v/>
      </x:c>
      <x:c r="K7" s="233"/>
      <x:c r="L7" s="233"/>
      <x:c r="M7" s="459" t="str">
        <x:f>IF($E7="","",IF(OR($E7="2추",$E7="1추",$E7="본예산"),"금액입력","-"))</x:f>
        <x:v>금액입력</x:v>
      </x:c>
      <x:c r="N7" s="459" t="str">
        <x:f>IF($E7="","",IF($E7="2추","금액입력","-"))</x:f>
        <x:v>-</x:v>
      </x:c>
      <x:c r="O7" s="461">
        <x:f>IF($E7="","",SUM(M7:N7))</x:f>
        <x:v>0</x:v>
      </x:c>
      <x:c r="P7" s="460"/>
      <x:c r="Q7" s="461">
        <x:f>SUM(O7:P7)</x:f>
        <x:v>0</x:v>
      </x:c>
      <x:c r="R7" s="462"/>
      <x:c r="S7" s="463">
        <x:f>SUM(O7,R7)</x:f>
        <x:v>0</x:v>
      </x:c>
      <x:c r="T7" s="162" t="str">
        <x:f>IF(AND((Q7=0),(S7&gt;0)),"O",IF(AND((P7&lt;0),(Q7-S7&lt;0)),"O","X"))</x:f>
        <x:v>X</x:v>
      </x:c>
      <x:c r="U7" s="233"/>
      <x:c r="V7" s="224"/>
      <x:c r="W7" s="217"/>
      <x:c r="X7" s="234"/>
      <x:c r="Y7" s="217"/>
      <x:c r="Z7" s="356" t="str">
        <x:f>IF($K7="","",IF(COUNT(FIND("국비/",$K7)),"국도비",IF(COUNT(FIND("균특/",$K7)),"국도비",IF(COUNT(FIND("기금/",$K7)),"국도비",IF(COUNT(FIND("교부세/",$K7)),"국도비",IF(COUNT(FIND("소방안전/",$K7)),"국도비",IF(COUNT(FIND("소멸대응/",$K7)),"국도비","도비")))))))</x:f>
        <x:v/>
      </x:c>
      <x:c r="AA7" s="164"/>
      <x:c r="AB7" s="486" t="str">
        <x:f t="shared" ref="AB7:AB50" si="2">IF($Z7="","",IF($Z7="국도비","금액입력",0))</x:f>
        <x:v/>
      </x:c>
      <x:c r="AC7" s="487">
        <x:f>IFERROR(P7-AB7,0)</x:f>
        <x:v>0</x:v>
      </x:c>
      <x:c r="AD7" s="356" t="str">
        <x:f t="shared" ref="AD7:AD50" si="3">IF($P7=SUM($AB7:$AC7),"OK","@@")</x:f>
        <x:v>OK</x:v>
      </x:c>
      <x:c r="AF7" s="502" t="str">
        <x:f t="shared" ref="AF7:AF50" si="4">IF($Z7="","",IF($Z7="국도비","금액입력",0))</x:f>
        <x:v/>
      </x:c>
      <x:c r="AG7" s="503">
        <x:f>IFERROR(R7-AF7,0)</x:f>
        <x:v>0</x:v>
      </x:c>
      <x:c r="AH7" s="381" t="str">
        <x:f t="shared" ref="AH7:AH50" si="5">IF($R7=SUM($AF7:$AG7),"OK","@@")</x:f>
        <x:v>OK</x:v>
      </x:c>
      <x:c r="AI7" s="48"/>
      <x:c r="AJ7" s="221" t="str">
        <x:f t="shared" ref="AJ7:AJ50" si="6">IF($Z7="","",IF($Z7="도비","-","세입번호입력"))</x:f>
        <x:v/>
      </x:c>
      <x:c r="AK7" s="356" t="str">
        <x:f t="shared" ref="AK7:AK50" si="7">IF(OR($AJ7="",$AJ7="-",$AJ7="세입번호입력"),"",COUNTIF($AJ$7:$AJ$995,$AJ7))</x:f>
        <x:v/>
      </x:c>
      <x:c r="AL7" s="356" t="str">
        <x:f t="shared" ref="AL7:AL50" si="8">IF($AJ7="","",IF($Z7="도비","OK",IF(AND($Z7="국도비",$AJ7="세입없음"),"OK",IF(AND($Z7="국도비",$AJ7="세입번호입력"),"@@","OK"))))</x:f>
        <x:v/>
      </x:c>
      <x:c r="AM7" s="356" t="str">
        <x:f t="shared" ref="AM7:AM50" si="9">IF($K7="","",IF(COUNT(FIND("국비/",$K7)),"국비",IF(COUNT(FIND("균특/",$K7)),"균특",IF(COUNT(FIND("기금/",$K7)),"기금",IF(COUNT(FIND("교부세/",$K7)),"특교",IF(COUNT(FIND("소방안전/",$K7)),"소교",IF(COUNT(FIND("소멸대응/",$K7)),"소멸","도비")))))))</x:f>
        <x:v/>
      </x:c>
      <x:c r="AN7" s="356" t="str">
        <x:f>IF($AM7="","",IF($AM7="도비","OK",IF($AJ7="세입없음","OK",IF($AJ7="세입번호입력","@@",IF(VLOOKUP($AJ7,'4. 특입'!$AF$6:$AG$1000,2,FALSE)='4. 특출'!$AM7,"OK","@@")))))</x:f>
        <x:v/>
      </x:c>
      <x:c r="AO7" s="69"/>
      <x:c r="AP7" s="383"/>
      <x:c r="AQ7" s="28"/>
    </x:row>
    <x:row r="8" spans="1:43" ht="80.099999999999994" customHeight="1">
      <x:c r="A8" s="155" t="str">
        <x:f>IF(D8="","",COUNTA($C$6:C8)-COUNTBLANK($C$6:C8)+1)</x:f>
        <x:v/>
      </x:c>
      <x:c r="B8" s="156" t="str">
        <x: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x:f>
        <x:v/>
      </x:c>
      <x:c r="C8" s="156" t="str">
        <x:f>IF(D8="","",IF(OR(D8="교육지원과"),"소방재난본부",VLOOKUP(D8,구분표!$A$3:$C$258,3,)))</x:f>
        <x:v/>
      </x:c>
      <x:c r="D8" s="226"/>
      <x:c r="E8" s="213" t="s">
        <x:v>410</x:v>
      </x:c>
      <x:c r="F8" s="388" t="str">
        <x:f t="shared" ref="F8:G10" si="10">IF($E8="","",IF($E8="2추","직접입력","-"))</x:f>
        <x:v>-</x:v>
      </x:c>
      <x:c r="G8" s="388" t="str">
        <x:f t="shared" si="10"/>
        <x:v>-</x:v>
      </x:c>
      <x:c r="H8" s="213"/>
      <x:c r="I8" s="156" t="str">
        <x:f>IF(H8="","",VLOOKUP($H8,구분표!$K$3:$M$151,2,FALSE))</x:f>
        <x:v/>
      </x:c>
      <x:c r="J8" s="156" t="str">
        <x:f>IF(I8="","",VLOOKUP($H8,구분표!$K$3:$M$151,3,FALSE))</x:f>
        <x:v/>
      </x:c>
      <x:c r="K8" s="233"/>
      <x:c r="L8" s="233"/>
      <x:c r="M8" s="459" t="str">
        <x:f t="shared" ref="M8:M10" si="11">IF($E8="","",IF(OR($E8="2추",$E8="1추",$E8="본예산"),"금액입력","-"))</x:f>
        <x:v>금액입력</x:v>
      </x:c>
      <x:c r="N8" s="459" t="str">
        <x:f t="shared" ref="N8:N10" si="12">IF($E8="","",IF($E8="2추","금액입력","-"))</x:f>
        <x:v>-</x:v>
      </x:c>
      <x:c r="O8" s="461">
        <x:f t="shared" ref="O8:O10" si="13">IF($E8="","",SUM(M8:N8))</x:f>
        <x:v>0</x:v>
      </x:c>
      <x:c r="P8" s="460"/>
      <x:c r="Q8" s="461">
        <x:f t="shared" ref="Q8:Q10" si="14">SUM(O8:P8)</x:f>
        <x:v>0</x:v>
      </x:c>
      <x:c r="R8" s="462"/>
      <x:c r="S8" s="463">
        <x:f t="shared" ref="S8:S10" si="15">SUM(O8,R8)</x:f>
        <x:v>0</x:v>
      </x:c>
      <x:c r="T8" s="162" t="str">
        <x:f t="shared" ref="T8:T10" si="16">IF(AND((Q8=0),(S8&gt;0)),"O",IF(AND((P8&lt;0),(Q8-S8&lt;0)),"O","X"))</x:f>
        <x:v>X</x:v>
      </x:c>
      <x:c r="U8" s="233"/>
      <x:c r="V8" s="224"/>
      <x:c r="W8" s="217"/>
      <x:c r="X8" s="234"/>
      <x:c r="Y8" s="217"/>
      <x:c r="Z8" s="356" t="str">
        <x:f t="shared" ref="Z8:Z10" si="17"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x:f>
        <x:v/>
      </x:c>
      <x:c r="AA8" s="164"/>
      <x:c r="AB8" s="486" t="str">
        <x:f t="shared" si="2"/>
        <x:v/>
      </x:c>
      <x:c r="AC8" s="487">
        <x:f t="shared" ref="AC8:AC10" si="18">IFERROR(P8-AB8,0)</x:f>
        <x:v>0</x:v>
      </x:c>
      <x:c r="AD8" s="356" t="str">
        <x:f t="shared" si="3"/>
        <x:v>OK</x:v>
      </x:c>
      <x:c r="AF8" s="502" t="str">
        <x:f t="shared" si="4"/>
        <x:v/>
      </x:c>
      <x:c r="AG8" s="503">
        <x:f t="shared" ref="AG8:AG10" si="19">IFERROR(R8-AF8,0)</x:f>
        <x:v>0</x:v>
      </x:c>
      <x:c r="AH8" s="381" t="str">
        <x:f t="shared" si="5"/>
        <x:v>OK</x:v>
      </x:c>
      <x:c r="AI8" s="48"/>
      <x:c r="AJ8" s="221" t="str">
        <x:f t="shared" si="6"/>
        <x:v/>
      </x:c>
      <x:c r="AK8" s="356" t="str">
        <x:f t="shared" si="7"/>
        <x:v/>
      </x:c>
      <x:c r="AL8" s="356" t="str">
        <x:f t="shared" si="8"/>
        <x:v/>
      </x:c>
      <x:c r="AM8" s="356" t="str">
        <x:f t="shared" si="9"/>
        <x:v/>
      </x:c>
      <x:c r="AN8" s="356" t="str">
        <x:f>IF($AM8="","",IF($AM8="도비","OK",IF($AJ8="세입없음","OK",IF($AJ8="세입번호입력","@@",IF(VLOOKUP($AJ8,'4. 특입'!$AF$6:$AG$1000,2,FALSE)='4. 특출'!$AM8,"OK","@@")))))</x:f>
        <x:v/>
      </x:c>
      <x:c r="AO8" s="69"/>
      <x:c r="AP8" s="383"/>
      <x:c r="AQ8" s="28"/>
    </x:row>
    <x:row r="9" spans="1:42" ht="80.099999999999994" customHeight="1">
      <x:c r="A9" s="155" t="str">
        <x:f>IF(D9="","",COUNTA($C$6:C9)-COUNTBLANK($C$6:C9)+1)</x:f>
        <x:v/>
      </x:c>
      <x:c r="B9" s="156" t="str">
        <x: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x:f>
        <x:v/>
      </x:c>
      <x:c r="C9" s="156" t="str">
        <x:f>IF(D9="","",IF(OR(D9="교육지원과"),"소방재난본부",VLOOKUP(D9,구분표!$A$3:$C$258,3,)))</x:f>
        <x:v/>
      </x:c>
      <x:c r="D9" s="226"/>
      <x:c r="E9" s="213" t="s">
        <x:v>414</x:v>
      </x:c>
      <x:c r="F9" s="388" t="str">
        <x:f t="shared" si="10"/>
        <x:v>직접입력</x:v>
      </x:c>
      <x:c r="G9" s="388" t="str">
        <x:f t="shared" si="10"/>
        <x:v>직접입력</x:v>
      </x:c>
      <x:c r="H9" s="213"/>
      <x:c r="I9" s="156" t="str">
        <x:f>IF(H9="","",VLOOKUP($H9,구분표!$K$3:$M$151,2,FALSE))</x:f>
        <x:v/>
      </x:c>
      <x:c r="J9" s="156" t="str">
        <x:f>IF(I9="","",VLOOKUP($H9,구분표!$K$3:$M$151,3,FALSE))</x:f>
        <x:v/>
      </x:c>
      <x:c r="K9" s="233"/>
      <x:c r="L9" s="233"/>
      <x:c r="M9" s="459" t="str">
        <x:f t="shared" si="11"/>
        <x:v>금액입력</x:v>
      </x:c>
      <x:c r="N9" s="459" t="str">
        <x:f t="shared" si="12"/>
        <x:v>금액입력</x:v>
      </x:c>
      <x:c r="O9" s="461">
        <x:f t="shared" si="13"/>
        <x:v>0</x:v>
      </x:c>
      <x:c r="P9" s="460"/>
      <x:c r="Q9" s="461">
        <x:f t="shared" si="14"/>
        <x:v>0</x:v>
      </x:c>
      <x:c r="R9" s="462"/>
      <x:c r="S9" s="463">
        <x:f t="shared" si="15"/>
        <x:v>0</x:v>
      </x:c>
      <x:c r="T9" s="162" t="str">
        <x:f t="shared" si="16"/>
        <x:v>X</x:v>
      </x:c>
      <x:c r="U9" s="233"/>
      <x:c r="V9" s="224"/>
      <x:c r="W9" s="217"/>
      <x:c r="X9" s="234"/>
      <x:c r="Y9" s="217"/>
      <x:c r="Z9" s="356" t="str">
        <x:f t="shared" si="17"/>
        <x:v/>
      </x:c>
      <x:c r="AA9" s="164"/>
      <x:c r="AB9" s="486" t="str">
        <x:f t="shared" si="2"/>
        <x:v/>
      </x:c>
      <x:c r="AC9" s="487">
        <x:f t="shared" si="18"/>
        <x:v>0</x:v>
      </x:c>
      <x:c r="AD9" s="356" t="str">
        <x:f t="shared" si="3"/>
        <x:v>OK</x:v>
      </x:c>
      <x:c r="AF9" s="502" t="str">
        <x:f t="shared" si="4"/>
        <x:v/>
      </x:c>
      <x:c r="AG9" s="503">
        <x:f t="shared" si="19"/>
        <x:v>0</x:v>
      </x:c>
      <x:c r="AH9" s="381" t="str">
        <x:f t="shared" si="5"/>
        <x:v>OK</x:v>
      </x:c>
      <x:c r="AI9" s="48"/>
      <x:c r="AJ9" s="221" t="str">
        <x:f t="shared" si="6"/>
        <x:v/>
      </x:c>
      <x:c r="AK9" s="356" t="str">
        <x:f t="shared" si="7"/>
        <x:v/>
      </x:c>
      <x:c r="AL9" s="356" t="str">
        <x:f t="shared" si="8"/>
        <x:v/>
      </x:c>
      <x:c r="AM9" s="356" t="str">
        <x:f t="shared" si="9"/>
        <x:v/>
      </x:c>
      <x:c r="AN9" s="356" t="str">
        <x:f>IF($AM9="","",IF($AM9="도비","OK",IF($AJ9="세입없음","OK",IF($AJ9="세입번호입력","@@",IF(VLOOKUP($AJ9,'4. 특입'!$AF$6:$AG$1000,2,FALSE)='4. 특출'!$AM9,"OK","@@")))))</x:f>
        <x:v/>
      </x:c>
      <x:c r="AO9" s="69"/>
      <x:c r="AP9" s="383"/>
    </x:row>
    <x:row r="10" spans="1:42" ht="80.099999999999994" customHeight="1">
      <x:c r="A10" s="155" t="str">
        <x:f>IF(D10="","",COUNTA($C$6:C10)-COUNTBLANK($C$6:C10)+1)</x:f>
        <x:v/>
      </x:c>
      <x:c r="B10" s="156" t="str">
        <x: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x:f>
        <x:v/>
      </x:c>
      <x:c r="C10" s="156" t="str">
        <x:f>IF(D10="","",IF(OR(D10="교육지원과"),"소방재난본부",VLOOKUP(D10,구분표!$A$3:$C$258,3,)))</x:f>
        <x:v/>
      </x:c>
      <x:c r="D10" s="226"/>
      <x:c r="E10" s="213" t="s">
        <x:v>408</x:v>
      </x:c>
      <x:c r="F10" s="388" t="str">
        <x:f t="shared" si="10"/>
        <x:v>-</x:v>
      </x:c>
      <x:c r="G10" s="388" t="str">
        <x:f t="shared" si="10"/>
        <x:v>-</x:v>
      </x:c>
      <x:c r="H10" s="213"/>
      <x:c r="I10" s="156" t="str">
        <x:f>IF(H10="","",VLOOKUP($H10,구분표!$K$3:$M$151,2,FALSE))</x:f>
        <x:v/>
      </x:c>
      <x:c r="J10" s="156" t="str">
        <x:f>IF(I10="","",VLOOKUP($H10,구분표!$K$3:$M$151,3,FALSE))</x:f>
        <x:v/>
      </x:c>
      <x:c r="K10" s="233"/>
      <x:c r="L10" s="233"/>
      <x:c r="M10" s="459" t="str">
        <x:f t="shared" si="11"/>
        <x:v>-</x:v>
      </x:c>
      <x:c r="N10" s="459" t="str">
        <x:f t="shared" si="12"/>
        <x:v>-</x:v>
      </x:c>
      <x:c r="O10" s="461">
        <x:f t="shared" si="13"/>
        <x:v>0</x:v>
      </x:c>
      <x:c r="P10" s="460"/>
      <x:c r="Q10" s="461">
        <x:f t="shared" si="14"/>
        <x:v>0</x:v>
      </x:c>
      <x:c r="R10" s="462"/>
      <x:c r="S10" s="463">
        <x:f t="shared" si="15"/>
        <x:v>0</x:v>
      </x:c>
      <x:c r="T10" s="162" t="str">
        <x:f t="shared" si="16"/>
        <x:v>X</x:v>
      </x:c>
      <x:c r="U10" s="233"/>
      <x:c r="V10" s="224"/>
      <x:c r="W10" s="217"/>
      <x:c r="X10" s="234"/>
      <x:c r="Y10" s="217"/>
      <x:c r="Z10" s="356" t="str">
        <x:f t="shared" si="17"/>
        <x:v/>
      </x:c>
      <x:c r="AA10" s="164"/>
      <x:c r="AB10" s="486" t="str">
        <x:f t="shared" si="2"/>
        <x:v/>
      </x:c>
      <x:c r="AC10" s="487">
        <x:f t="shared" si="18"/>
        <x:v>0</x:v>
      </x:c>
      <x:c r="AD10" s="356" t="str">
        <x:f t="shared" si="3"/>
        <x:v>OK</x:v>
      </x:c>
      <x:c r="AF10" s="502" t="str">
        <x:f t="shared" si="4"/>
        <x:v/>
      </x:c>
      <x:c r="AG10" s="503">
        <x:f t="shared" si="19"/>
        <x:v>0</x:v>
      </x:c>
      <x:c r="AH10" s="381" t="str">
        <x:f t="shared" si="5"/>
        <x:v>OK</x:v>
      </x:c>
      <x:c r="AI10" s="48"/>
      <x:c r="AJ10" s="221" t="str">
        <x:f t="shared" si="6"/>
        <x:v/>
      </x:c>
      <x:c r="AK10" s="356" t="str">
        <x:f t="shared" si="7"/>
        <x:v/>
      </x:c>
      <x:c r="AL10" s="356" t="str">
        <x:f t="shared" si="8"/>
        <x:v/>
      </x:c>
      <x:c r="AM10" s="356" t="str">
        <x:f t="shared" si="9"/>
        <x:v/>
      </x:c>
      <x:c r="AN10" s="356" t="str">
        <x:f>IF($AM10="","",IF($AM10="도비","OK",IF($AJ10="세입없음","OK",IF($AJ10="세입번호입력","@@",IF(VLOOKUP($AJ10,'4. 특입'!$AF$6:$AG$1000,2,FALSE)='4. 특출'!$AM10,"OK","@@")))))</x:f>
        <x:v/>
      </x:c>
      <x:c r="AO10" s="69"/>
      <x:c r="AP10" s="383"/>
    </x:row>
    <x:row r="11" spans="1:42" ht="60" customHeight="1">
      <x:c r="A11" s="174"/>
      <x:c r="B11" s="888" t="s">
        <x:v>564</x:v>
      </x:c>
      <x:c r="C11" s="888"/>
      <x:c r="D11" s="888"/>
      <x:c r="E11" s="888"/>
      <x:c r="F11" s="888"/>
      <x:c r="G11" s="888"/>
      <x:c r="H11" s="175"/>
      <x:c r="I11" s="175"/>
      <x:c r="J11" s="175"/>
      <x:c r="K11" s="175"/>
      <x:c r="L11" s="353" t="str">
        <x:f>SUBTOTAL(3,L12:L15)&amp;"건"</x:f>
        <x:v>0건</x:v>
      </x:c>
      <x:c r="M11" s="477">
        <x:f t="shared" ref="M11:S11" si="20">SUBTOTAL(9,M12:M15)</x:f>
        <x:v>0</x:v>
      </x:c>
      <x:c r="N11" s="477">
        <x:f t="shared" si="20"/>
        <x:v>0</x:v>
      </x:c>
      <x:c r="O11" s="477">
        <x:f t="shared" si="20"/>
        <x:v>0</x:v>
      </x:c>
      <x:c r="P11" s="477">
        <x:f t="shared" si="20"/>
        <x:v>0</x:v>
      </x:c>
      <x:c r="Q11" s="477">
        <x:f t="shared" si="20"/>
        <x:v>0</x:v>
      </x:c>
      <x:c r="R11" s="477">
        <x:f t="shared" si="20"/>
        <x:v>0</x:v>
      </x:c>
      <x:c r="S11" s="477">
        <x:f t="shared" si="20"/>
        <x:v>0</x:v>
      </x:c>
      <x:c r="T11" s="174"/>
      <x:c r="U11" s="176"/>
      <x:c r="V11" s="176"/>
      <x:c r="W11" s="177"/>
      <x:c r="X11" s="178"/>
      <x:c r="Y11" s="178"/>
      <x:c r="Z11" s="82"/>
      <x:c r="AA11" s="44"/>
      <x:c r="AB11" s="464">
        <x:f>SUBTOTAL(9,AB12:AB15)</x:f>
        <x:v>0</x:v>
      </x:c>
      <x:c r="AC11" s="464">
        <x:f>SUBTOTAL(9,AC12:AC15)</x:f>
        <x:v>0</x:v>
      </x:c>
      <x:c r="AD11" s="556" t="str">
        <x:f>IF(COUNTIF(AD12:AD15,"@@")&gt;0,"@@","OK")</x:f>
        <x:v>OK</x:v>
      </x:c>
      <x:c r="AF11" s="464">
        <x:f>SUBTOTAL(9,AF12:AF15)</x:f>
        <x:v>0</x:v>
      </x:c>
      <x:c r="AG11" s="464">
        <x:f>SUBTOTAL(9,AG12:AG15)</x:f>
        <x:v>0</x:v>
      </x:c>
      <x:c r="AH11" s="556" t="str">
        <x:f>IF(COUNTIF(AH12:AH15,"@@")&gt;0,"@@","OK")</x:f>
        <x:v>OK</x:v>
      </x:c>
      <x:c r="AI11" s="37"/>
      <x:c r="AJ11" s="82"/>
      <x:c r="AK11" s="82"/>
      <x:c r="AL11" s="556" t="str">
        <x:f>IF(COUNTIF(AL12:AL15,"@@")&gt;0,"@@","OK")</x:f>
        <x:v>OK</x:v>
      </x:c>
      <x:c r="AM11" s="82"/>
      <x:c r="AN11" s="556" t="str">
        <x:f>IF(COUNTIF(AN12:AN15,"@@")&gt;0,"@@","OK")</x:f>
        <x:v>OK</x:v>
      </x:c>
      <x:c r="AO11" s="37"/>
      <x:c r="AP11" s="82"/>
    </x:row>
    <x:row r="12" spans="1:43" ht="80.099999999999994" customHeight="1">
      <x:c r="A12" s="155" t="str">
        <x:f>IF(D12="","",COUNTA($C$6:C12)-COUNTBLANK($C$6:C12)+2)</x:f>
        <x:v/>
      </x:c>
      <x:c r="B12" s="156" t="str">
        <x: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x:f>
        <x:v/>
      </x:c>
      <x:c r="C12" s="156" t="str">
        <x:f>IF(D12="","",IF(OR(D12="교육지원과"),"소방재난본부",VLOOKUP(D12,구분표!$A$3:$C$258,3,)))</x:f>
        <x:v/>
      </x:c>
      <x:c r="D12" s="226"/>
      <x:c r="E12" s="213"/>
      <x:c r="F12" s="388" t="str">
        <x:f>IF($E12="","",IF($E12="2추","직접입력","-"))</x:f>
        <x:v/>
      </x:c>
      <x:c r="G12" s="388" t="str">
        <x:f>IF($E12="","",IF($E12="2추","직접입력","-"))</x:f>
        <x:v/>
      </x:c>
      <x:c r="H12" s="213"/>
      <x:c r="I12" s="156" t="str">
        <x:f>IF(H12="","",VLOOKUP($H12,구분표!$K$3:$M$151,2,FALSE))</x:f>
        <x:v/>
      </x:c>
      <x:c r="J12" s="156" t="str">
        <x:f>IF(I12="","",VLOOKUP($H12,구분표!$K$3:$M$151,3,FALSE))</x:f>
        <x:v/>
      </x:c>
      <x:c r="K12" s="233"/>
      <x:c r="L12" s="233"/>
      <x:c r="M12" s="459" t="str">
        <x:f>IF($E12="","",IF(OR($E12="2추",$E12="1추",$E12="본예산"),"금액입력","-"))</x:f>
        <x:v/>
      </x:c>
      <x:c r="N12" s="459" t="str">
        <x:f>IF($E12="","",IF($E12="2추","금액입력","-"))</x:f>
        <x:v/>
      </x:c>
      <x:c r="O12" s="461" t="str">
        <x:f t="shared" ref="O12:O15" si="21">IF($E12="","",SUM(M12:N12))</x:f>
        <x:v/>
      </x:c>
      <x:c r="P12" s="460"/>
      <x:c r="Q12" s="461">
        <x:f t="shared" ref="Q12:Q15" si="22">SUM(O12:P12)</x:f>
        <x:v>0</x:v>
      </x:c>
      <x:c r="R12" s="462"/>
      <x:c r="S12" s="463">
        <x:f t="shared" ref="S12:S15" si="23">SUM(O12,R12)</x:f>
        <x:v>0</x:v>
      </x:c>
      <x:c r="T12" s="162" t="str">
        <x:f t="shared" ref="T12:T15" si="24">IF(AND((Q12=0),(S12&gt;0)),"O",IF(AND((P12&lt;0),(Q12-S12&lt;0)),"O","X"))</x:f>
        <x:v>X</x:v>
      </x:c>
      <x:c r="U12" s="233"/>
      <x:c r="V12" s="224"/>
      <x:c r="W12" s="217"/>
      <x:c r="X12" s="234"/>
      <x:c r="Y12" s="217"/>
      <x:c r="Z12" s="356" t="str">
        <x:f t="shared" ref="Z12:Z15" si="25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x:f>
        <x:v/>
      </x:c>
      <x:c r="AA12" s="164"/>
      <x:c r="AB12" s="486" t="str">
        <x:f t="shared" si="2"/>
        <x:v/>
      </x:c>
      <x:c r="AC12" s="487">
        <x:f t="shared" ref="AC12:AC15" si="26">IFERROR(P12-AB12,0)</x:f>
        <x:v>0</x:v>
      </x:c>
      <x:c r="AD12" s="356" t="str">
        <x:f t="shared" si="3"/>
        <x:v>OK</x:v>
      </x:c>
      <x:c r="AF12" s="502" t="str">
        <x:f t="shared" si="4"/>
        <x:v/>
      </x:c>
      <x:c r="AG12" s="503">
        <x:f t="shared" ref="AG12:AG15" si="27">IFERROR(R12-AF12,0)</x:f>
        <x:v>0</x:v>
      </x:c>
      <x:c r="AH12" s="381" t="str">
        <x:f t="shared" si="5"/>
        <x:v>OK</x:v>
      </x:c>
      <x:c r="AI12" s="48"/>
      <x:c r="AJ12" s="221" t="str">
        <x:f t="shared" si="6"/>
        <x:v/>
      </x:c>
      <x:c r="AK12" s="356" t="str">
        <x:f t="shared" si="7"/>
        <x:v/>
      </x:c>
      <x:c r="AL12" s="356" t="str">
        <x:f t="shared" si="8"/>
        <x:v/>
      </x:c>
      <x:c r="AM12" s="356" t="str">
        <x:f t="shared" si="9"/>
        <x:v/>
      </x:c>
      <x:c r="AN12" s="356" t="str">
        <x:f>IF($AM12="","",IF($AM12="도비","OK",IF($AJ12="세입없음","OK",IF($AJ12="세입번호입력","@@",IF(VLOOKUP($AJ12,'4. 특입'!$AF$6:$AG$1000,2,FALSE)='4. 특출'!$AM12,"OK","@@")))))</x:f>
        <x:v/>
      </x:c>
      <x:c r="AO12" s="69"/>
      <x:c r="AP12" s="383"/>
      <x:c r="AQ12" s="28"/>
    </x:row>
    <x:row r="13" spans="1:43" ht="80.099999999999994" customHeight="1">
      <x:c r="A13" s="155" t="str">
        <x:f>IF(D13="","",COUNTA($C$6:C13)-COUNTBLANK($C$6:C13)+2)</x:f>
        <x:v/>
      </x:c>
      <x:c r="B13" s="156" t="str">
        <x: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x:f>
        <x:v/>
      </x:c>
      <x:c r="C13" s="156" t="str">
        <x:f>IF(D13="","",IF(OR(D13="교육지원과"),"소방재난본부",VLOOKUP(D13,구분표!$A$3:$C$258,3,)))</x:f>
        <x:v/>
      </x:c>
      <x:c r="D13" s="226"/>
      <x:c r="E13" s="213"/>
      <x:c r="F13" s="388" t="str">
        <x:f t="shared" ref="F13:G15" si="28">IF($E13="","",IF($E13="2추","직접입력","-"))</x:f>
        <x:v/>
      </x:c>
      <x:c r="G13" s="388" t="str">
        <x:f t="shared" si="28"/>
        <x:v/>
      </x:c>
      <x:c r="H13" s="213"/>
      <x:c r="I13" s="156" t="str">
        <x:f>IF(H13="","",VLOOKUP($H13,구분표!$K$3:$M$151,2,FALSE))</x:f>
        <x:v/>
      </x:c>
      <x:c r="J13" s="156" t="str">
        <x:f>IF(I13="","",VLOOKUP($H13,구분표!$K$3:$M$151,3,FALSE))</x:f>
        <x:v/>
      </x:c>
      <x:c r="K13" s="233"/>
      <x:c r="L13" s="233"/>
      <x:c r="M13" s="459" t="str">
        <x:f t="shared" ref="M13:M15" si="29">IF($E13="","",IF(OR($E13="2추",$E13="1추",$E13="본예산"),"금액입력","-"))</x:f>
        <x:v/>
      </x:c>
      <x:c r="N13" s="459" t="str">
        <x:f t="shared" ref="N13:N15" si="30">IF($E13="","",IF($E13="2추","금액입력","-"))</x:f>
        <x:v/>
      </x:c>
      <x:c r="O13" s="461" t="str">
        <x:f t="shared" si="21"/>
        <x:v/>
      </x:c>
      <x:c r="P13" s="460"/>
      <x:c r="Q13" s="461">
        <x:f t="shared" si="22"/>
        <x:v>0</x:v>
      </x:c>
      <x:c r="R13" s="462"/>
      <x:c r="S13" s="463">
        <x:f t="shared" si="23"/>
        <x:v>0</x:v>
      </x:c>
      <x:c r="T13" s="162" t="str">
        <x:f t="shared" si="24"/>
        <x:v>X</x:v>
      </x:c>
      <x:c r="U13" s="233"/>
      <x:c r="V13" s="224"/>
      <x:c r="W13" s="217"/>
      <x:c r="X13" s="234"/>
      <x:c r="Y13" s="217"/>
      <x:c r="Z13" s="356" t="str">
        <x:f t="shared" si="25"/>
        <x:v/>
      </x:c>
      <x:c r="AA13" s="164"/>
      <x:c r="AB13" s="486" t="str">
        <x:f t="shared" si="2"/>
        <x:v/>
      </x:c>
      <x:c r="AC13" s="487">
        <x:f t="shared" si="26"/>
        <x:v>0</x:v>
      </x:c>
      <x:c r="AD13" s="356" t="str">
        <x:f t="shared" si="3"/>
        <x:v>OK</x:v>
      </x:c>
      <x:c r="AF13" s="502" t="str">
        <x:f t="shared" si="4"/>
        <x:v/>
      </x:c>
      <x:c r="AG13" s="503">
        <x:f t="shared" si="27"/>
        <x:v>0</x:v>
      </x:c>
      <x:c r="AH13" s="381" t="str">
        <x:f t="shared" si="5"/>
        <x:v>OK</x:v>
      </x:c>
      <x:c r="AI13" s="48"/>
      <x:c r="AJ13" s="221" t="str">
        <x:f t="shared" si="6"/>
        <x:v/>
      </x:c>
      <x:c r="AK13" s="356" t="str">
        <x:f t="shared" si="7"/>
        <x:v/>
      </x:c>
      <x:c r="AL13" s="356" t="str">
        <x:f t="shared" si="8"/>
        <x:v/>
      </x:c>
      <x:c r="AM13" s="356" t="str">
        <x:f t="shared" si="9"/>
        <x:v/>
      </x:c>
      <x:c r="AN13" s="356" t="str">
        <x:f>IF($AM13="","",IF($AM13="도비","OK",IF($AJ13="세입없음","OK",IF($AJ13="세입번호입력","@@",IF(VLOOKUP($AJ13,'4. 특입'!$AF$6:$AG$1000,2,FALSE)='4. 특출'!$AM13,"OK","@@")))))</x:f>
        <x:v/>
      </x:c>
      <x:c r="AO13" s="69"/>
      <x:c r="AP13" s="383"/>
      <x:c r="AQ13" s="28"/>
    </x:row>
    <x:row r="14" spans="1:43" ht="80.099999999999994" customHeight="1">
      <x:c r="A14" s="155" t="str">
        <x:f>IF(D14="","",COUNTA($C$6:C14)-COUNTBLANK($C$6:C14)+2)</x:f>
        <x:v/>
      </x:c>
      <x:c r="B14" s="156" t="str">
        <x: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x:f>
        <x:v/>
      </x:c>
      <x:c r="C14" s="156" t="str">
        <x:f>IF(D14="","",IF(OR(D14="교육지원과"),"소방재난본부",VLOOKUP(D14,구분표!$A$3:$C$258,3,)))</x:f>
        <x:v/>
      </x:c>
      <x:c r="D14" s="226"/>
      <x:c r="E14" s="213"/>
      <x:c r="F14" s="388" t="str">
        <x:f t="shared" si="28"/>
        <x:v/>
      </x:c>
      <x:c r="G14" s="388" t="str">
        <x:f t="shared" si="28"/>
        <x:v/>
      </x:c>
      <x:c r="H14" s="213"/>
      <x:c r="I14" s="156" t="str">
        <x:f>IF(H14="","",VLOOKUP($H14,구분표!$K$3:$M$151,2,FALSE))</x:f>
        <x:v/>
      </x:c>
      <x:c r="J14" s="156" t="str">
        <x:f>IF(I14="","",VLOOKUP($H14,구분표!$K$3:$M$151,3,FALSE))</x:f>
        <x:v/>
      </x:c>
      <x:c r="K14" s="233"/>
      <x:c r="L14" s="233"/>
      <x:c r="M14" s="459" t="str">
        <x:f t="shared" si="29"/>
        <x:v/>
      </x:c>
      <x:c r="N14" s="459" t="str">
        <x:f t="shared" si="30"/>
        <x:v/>
      </x:c>
      <x:c r="O14" s="461" t="str">
        <x:f t="shared" si="21"/>
        <x:v/>
      </x:c>
      <x:c r="P14" s="460"/>
      <x:c r="Q14" s="461">
        <x:f t="shared" si="22"/>
        <x:v>0</x:v>
      </x:c>
      <x:c r="R14" s="462"/>
      <x:c r="S14" s="463">
        <x:f t="shared" si="23"/>
        <x:v>0</x:v>
      </x:c>
      <x:c r="T14" s="162" t="str">
        <x:f t="shared" si="24"/>
        <x:v>X</x:v>
      </x:c>
      <x:c r="U14" s="233"/>
      <x:c r="V14" s="224"/>
      <x:c r="W14" s="217"/>
      <x:c r="X14" s="234"/>
      <x:c r="Y14" s="217"/>
      <x:c r="Z14" s="356" t="str">
        <x:f t="shared" si="25"/>
        <x:v/>
      </x:c>
      <x:c r="AA14" s="164"/>
      <x:c r="AB14" s="486" t="str">
        <x:f t="shared" si="2"/>
        <x:v/>
      </x:c>
      <x:c r="AC14" s="487">
        <x:f t="shared" si="26"/>
        <x:v>0</x:v>
      </x:c>
      <x:c r="AD14" s="356" t="str">
        <x:f t="shared" si="3"/>
        <x:v>OK</x:v>
      </x:c>
      <x:c r="AF14" s="502" t="str">
        <x:f t="shared" si="4"/>
        <x:v/>
      </x:c>
      <x:c r="AG14" s="503">
        <x:f t="shared" si="27"/>
        <x:v>0</x:v>
      </x:c>
      <x:c r="AH14" s="381" t="str">
        <x:f t="shared" si="5"/>
        <x:v>OK</x:v>
      </x:c>
      <x:c r="AI14" s="48"/>
      <x:c r="AJ14" s="221" t="str">
        <x:f t="shared" si="6"/>
        <x:v/>
      </x:c>
      <x:c r="AK14" s="356" t="str">
        <x:f t="shared" si="7"/>
        <x:v/>
      </x:c>
      <x:c r="AL14" s="356" t="str">
        <x:f t="shared" si="8"/>
        <x:v/>
      </x:c>
      <x:c r="AM14" s="356" t="str">
        <x:f t="shared" si="9"/>
        <x:v/>
      </x:c>
      <x:c r="AN14" s="356" t="str">
        <x:f>IF($AM14="","",IF($AM14="도비","OK",IF($AJ14="세입없음","OK",IF($AJ14="세입번호입력","@@",IF(VLOOKUP($AJ14,'4. 특입'!$AF$6:$AG$1000,2,FALSE)='4. 특출'!$AM14,"OK","@@")))))</x:f>
        <x:v/>
      </x:c>
      <x:c r="AO14" s="69"/>
      <x:c r="AP14" s="383"/>
      <x:c r="AQ14" s="28"/>
    </x:row>
    <x:row r="15" spans="1:43" ht="80.099999999999994" customHeight="1">
      <x:c r="A15" s="155" t="str">
        <x:f>IF(D15="","",COUNTA($C$6:C15)-COUNTBLANK($C$6:C15)+2)</x:f>
        <x:v/>
      </x:c>
      <x:c r="B15" s="156" t="str">
        <x: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x:f>
        <x:v/>
      </x:c>
      <x:c r="C15" s="156" t="str">
        <x:f>IF(D15="","",IF(OR(D15="교육지원과"),"소방재난본부",VLOOKUP(D15,구분표!$A$3:$C$258,3,)))</x:f>
        <x:v/>
      </x:c>
      <x:c r="D15" s="226"/>
      <x:c r="E15" s="213"/>
      <x:c r="F15" s="388" t="str">
        <x:f t="shared" si="28"/>
        <x:v/>
      </x:c>
      <x:c r="G15" s="388" t="str">
        <x:f t="shared" si="28"/>
        <x:v/>
      </x:c>
      <x:c r="H15" s="213"/>
      <x:c r="I15" s="156" t="str">
        <x:f>IF(H15="","",VLOOKUP($H15,구분표!$K$3:$M$151,2,FALSE))</x:f>
        <x:v/>
      </x:c>
      <x:c r="J15" s="156" t="str">
        <x:f>IF(I15="","",VLOOKUP($H15,구분표!$K$3:$M$151,3,FALSE))</x:f>
        <x:v/>
      </x:c>
      <x:c r="K15" s="233"/>
      <x:c r="L15" s="233"/>
      <x:c r="M15" s="459" t="str">
        <x:f t="shared" si="29"/>
        <x:v/>
      </x:c>
      <x:c r="N15" s="459" t="str">
        <x:f t="shared" si="30"/>
        <x:v/>
      </x:c>
      <x:c r="O15" s="461" t="str">
        <x:f t="shared" si="21"/>
        <x:v/>
      </x:c>
      <x:c r="P15" s="460"/>
      <x:c r="Q15" s="461">
        <x:f t="shared" si="22"/>
        <x:v>0</x:v>
      </x:c>
      <x:c r="R15" s="462"/>
      <x:c r="S15" s="463">
        <x:f t="shared" si="23"/>
        <x:v>0</x:v>
      </x:c>
      <x:c r="T15" s="162" t="str">
        <x:f t="shared" si="24"/>
        <x:v>X</x:v>
      </x:c>
      <x:c r="U15" s="233"/>
      <x:c r="V15" s="224"/>
      <x:c r="W15" s="217"/>
      <x:c r="X15" s="234"/>
      <x:c r="Y15" s="217"/>
      <x:c r="Z15" s="356" t="str">
        <x:f t="shared" si="25"/>
        <x:v/>
      </x:c>
      <x:c r="AA15" s="164"/>
      <x:c r="AB15" s="486" t="str">
        <x:f t="shared" si="2"/>
        <x:v/>
      </x:c>
      <x:c r="AC15" s="487">
        <x:f t="shared" si="26"/>
        <x:v>0</x:v>
      </x:c>
      <x:c r="AD15" s="356" t="str">
        <x:f t="shared" si="3"/>
        <x:v>OK</x:v>
      </x:c>
      <x:c r="AF15" s="502" t="str">
        <x:f t="shared" si="4"/>
        <x:v/>
      </x:c>
      <x:c r="AG15" s="503">
        <x:f t="shared" si="27"/>
        <x:v>0</x:v>
      </x:c>
      <x:c r="AH15" s="381" t="str">
        <x:f t="shared" si="5"/>
        <x:v>OK</x:v>
      </x:c>
      <x:c r="AI15" s="48"/>
      <x:c r="AJ15" s="221" t="str">
        <x:f t="shared" si="6"/>
        <x:v/>
      </x:c>
      <x:c r="AK15" s="356" t="str">
        <x:f t="shared" si="7"/>
        <x:v/>
      </x:c>
      <x:c r="AL15" s="356" t="str">
        <x:f t="shared" si="8"/>
        <x:v/>
      </x:c>
      <x:c r="AM15" s="356" t="str">
        <x:f t="shared" si="9"/>
        <x:v/>
      </x:c>
      <x:c r="AN15" s="356" t="str">
        <x:f>IF($AM15="","",IF($AM15="도비","OK",IF($AJ15="세입없음","OK",IF($AJ15="세입번호입력","@@",IF(VLOOKUP($AJ15,'4. 특입'!$AF$6:$AG$1000,2,FALSE)='4. 특출'!$AM15,"OK","@@")))))</x:f>
        <x:v/>
      </x:c>
      <x:c r="AO15" s="69"/>
      <x:c r="AP15" s="383"/>
      <x:c r="AQ15" s="28"/>
    </x:row>
    <x:row r="16" spans="1:42" ht="60" customHeight="1">
      <x:c r="A16" s="174"/>
      <x:c r="B16" s="888" t="s">
        <x:v>1489</x:v>
      </x:c>
      <x:c r="C16" s="888"/>
      <x:c r="D16" s="888"/>
      <x:c r="E16" s="888"/>
      <x:c r="F16" s="888"/>
      <x:c r="G16" s="888"/>
      <x:c r="H16" s="175"/>
      <x:c r="I16" s="175"/>
      <x:c r="J16" s="175"/>
      <x:c r="K16" s="175"/>
      <x:c r="L16" s="353" t="str">
        <x:f>SUBTOTAL(3,L17:L20)&amp;"건"</x:f>
        <x:v>0건</x:v>
      </x:c>
      <x:c r="M16" s="477">
        <x:f t="shared" ref="M16:S16" si="31">SUBTOTAL(9,M17:M20)</x:f>
        <x:v>0</x:v>
      </x:c>
      <x:c r="N16" s="477">
        <x:f t="shared" si="31"/>
        <x:v>0</x:v>
      </x:c>
      <x:c r="O16" s="477">
        <x:f t="shared" si="31"/>
        <x:v>0</x:v>
      </x:c>
      <x:c r="P16" s="477">
        <x:f t="shared" si="31"/>
        <x:v>0</x:v>
      </x:c>
      <x:c r="Q16" s="477">
        <x:f t="shared" si="31"/>
        <x:v>0</x:v>
      </x:c>
      <x:c r="R16" s="477">
        <x:f t="shared" si="31"/>
        <x:v>0</x:v>
      </x:c>
      <x:c r="S16" s="477">
        <x:f t="shared" si="31"/>
        <x:v>0</x:v>
      </x:c>
      <x:c r="T16" s="174"/>
      <x:c r="U16" s="176"/>
      <x:c r="V16" s="176"/>
      <x:c r="W16" s="177"/>
      <x:c r="X16" s="178"/>
      <x:c r="Y16" s="178"/>
      <x:c r="Z16" s="82"/>
      <x:c r="AA16" s="44"/>
      <x:c r="AB16" s="464">
        <x:f>SUBTOTAL(9,AB17:AB20)</x:f>
        <x:v>0</x:v>
      </x:c>
      <x:c r="AC16" s="464">
        <x:f>SUBTOTAL(9,AC17:AC20)</x:f>
        <x:v>0</x:v>
      </x:c>
      <x:c r="AD16" s="556" t="str">
        <x:f>IF(COUNTIF(AD17:AD20,"@@")&gt;0,"@@","OK")</x:f>
        <x:v>OK</x:v>
      </x:c>
      <x:c r="AF16" s="464">
        <x:f>SUBTOTAL(9,AF17:AF20)</x:f>
        <x:v>0</x:v>
      </x:c>
      <x:c r="AG16" s="464">
        <x:f>SUBTOTAL(9,AG17:AG20)</x:f>
        <x:v>0</x:v>
      </x:c>
      <x:c r="AH16" s="556" t="str">
        <x:f>IF(COUNTIF(AH17:AH20,"@@")&gt;0,"@@","OK")</x:f>
        <x:v>OK</x:v>
      </x:c>
      <x:c r="AI16" s="37"/>
      <x:c r="AJ16" s="82"/>
      <x:c r="AK16" s="82"/>
      <x:c r="AL16" s="556" t="str">
        <x:f>IF(COUNTIF(AL17:AL20,"@@")&gt;0,"@@","OK")</x:f>
        <x:v>OK</x:v>
      </x:c>
      <x:c r="AM16" s="82"/>
      <x:c r="AN16" s="556" t="str">
        <x:f>IF(COUNTIF(AN17:AN20,"@@")&gt;0,"@@","OK")</x:f>
        <x:v>OK</x:v>
      </x:c>
      <x:c r="AO16" s="37"/>
      <x:c r="AP16" s="82"/>
    </x:row>
    <x:row r="17" spans="1:43" ht="80.099999999999994" customHeight="1">
      <x:c r="A17" s="155" t="str">
        <x:f>IF(D17="","",COUNTA($C$6:C17)-COUNTBLANK($C$6:C17)+3)</x:f>
        <x:v/>
      </x:c>
      <x:c r="B17" s="156" t="str">
        <x: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x:f>
        <x:v/>
      </x:c>
      <x:c r="C17" s="156" t="str">
        <x:f>IF(D17="","",IF(OR(D17="교육지원과"),"소방재난본부",VLOOKUP(D17,구분표!$A$3:$C$258,3,)))</x:f>
        <x:v/>
      </x:c>
      <x:c r="D17" s="226"/>
      <x:c r="E17" s="213"/>
      <x:c r="F17" s="388" t="str">
        <x:f>IF($E17="","",IF($E17="2추","직접입력","-"))</x:f>
        <x:v/>
      </x:c>
      <x:c r="G17" s="388" t="str">
        <x:f>IF($E17="","",IF($E17="2추","직접입력","-"))</x:f>
        <x:v/>
      </x:c>
      <x:c r="H17" s="213"/>
      <x:c r="I17" s="156" t="str">
        <x:f>IF(H17="","",VLOOKUP($H17,구분표!$K$3:$M$151,2,FALSE))</x:f>
        <x:v/>
      </x:c>
      <x:c r="J17" s="156" t="str">
        <x:f>IF(I17="","",VLOOKUP($H17,구분표!$K$3:$M$151,3,FALSE))</x:f>
        <x:v/>
      </x:c>
      <x:c r="K17" s="233"/>
      <x:c r="L17" s="233"/>
      <x:c r="M17" s="459" t="str">
        <x:f>IF($E17="","",IF(OR($E17="2추",$E17="1추",$E17="본예산"),"금액입력","-"))</x:f>
        <x:v/>
      </x:c>
      <x:c r="N17" s="459" t="str">
        <x:f>IF($E17="","",IF($E17="2추","금액입력","-"))</x:f>
        <x:v/>
      </x:c>
      <x:c r="O17" s="461" t="str">
        <x:f t="shared" ref="O17:O20" si="32">IF($E17="","",SUM(M17:N17))</x:f>
        <x:v/>
      </x:c>
      <x:c r="P17" s="460"/>
      <x:c r="Q17" s="461">
        <x:f t="shared" ref="Q17:Q20" si="33">SUM(O17:P17)</x:f>
        <x:v>0</x:v>
      </x:c>
      <x:c r="R17" s="462"/>
      <x:c r="S17" s="463">
        <x:f t="shared" ref="S17:S20" si="34">SUM(O17,R17)</x:f>
        <x:v>0</x:v>
      </x:c>
      <x:c r="T17" s="162" t="str">
        <x:f t="shared" ref="T17:T20" si="35">IF(AND((Q17=0),(S17&gt;0)),"O",IF(AND((P17&lt;0),(Q17-S17&lt;0)),"O","X"))</x:f>
        <x:v>X</x:v>
      </x:c>
      <x:c r="U17" s="233"/>
      <x:c r="V17" s="224"/>
      <x:c r="W17" s="217"/>
      <x:c r="X17" s="234"/>
      <x:c r="Y17" s="217"/>
      <x:c r="Z17" s="356" t="str">
        <x:f t="shared" ref="Z17:Z20" si="36">IF($K17="","",IF(COUNT(FIND("국비/",$K17)),"국도비",IF(COUNT(FIND("균특/",$K17)),"국도비",IF(COUNT(FIND("기금/",$K17)),"국도비",IF(COUNT(FIND("교부세/",$K17)),"국도비",IF(COUNT(FIND("소방안전/",$K17)),"국도비",IF(COUNT(FIND("소멸대응/",$K17)),"국도비","도비")))))))</x:f>
        <x:v/>
      </x:c>
      <x:c r="AA17" s="164"/>
      <x:c r="AB17" s="486" t="str">
        <x:f t="shared" si="2"/>
        <x:v/>
      </x:c>
      <x:c r="AC17" s="487">
        <x:f t="shared" ref="AC17:AC20" si="37">IFERROR(P17-AB17,0)</x:f>
        <x:v>0</x:v>
      </x:c>
      <x:c r="AD17" s="356" t="str">
        <x:f t="shared" si="3"/>
        <x:v>OK</x:v>
      </x:c>
      <x:c r="AF17" s="502" t="str">
        <x:f t="shared" si="4"/>
        <x:v/>
      </x:c>
      <x:c r="AG17" s="503">
        <x:f t="shared" ref="AG17:AG20" si="38">IFERROR(R17-AF17,0)</x:f>
        <x:v>0</x:v>
      </x:c>
      <x:c r="AH17" s="381" t="str">
        <x:f t="shared" si="5"/>
        <x:v>OK</x:v>
      </x:c>
      <x:c r="AI17" s="48"/>
      <x:c r="AJ17" s="221" t="str">
        <x:f t="shared" si="6"/>
        <x:v/>
      </x:c>
      <x:c r="AK17" s="356" t="str">
        <x:f t="shared" si="7"/>
        <x:v/>
      </x:c>
      <x:c r="AL17" s="356" t="str">
        <x:f t="shared" si="8"/>
        <x:v/>
      </x:c>
      <x:c r="AM17" s="356" t="str">
        <x:f t="shared" si="9"/>
        <x:v/>
      </x:c>
      <x:c r="AN17" s="356" t="str">
        <x:f>IF($AM17="","",IF($AM17="도비","OK",IF($AJ17="세입없음","OK",IF($AJ17="세입번호입력","@@",IF(VLOOKUP($AJ17,'4. 특입'!$AF$6:$AG$1000,2,FALSE)='4. 특출'!$AM17,"OK","@@")))))</x:f>
        <x:v/>
      </x:c>
      <x:c r="AO17" s="69"/>
      <x:c r="AP17" s="383"/>
      <x:c r="AQ17" s="28"/>
    </x:row>
    <x:row r="18" spans="1:43" ht="80.099999999999994" customHeight="1">
      <x:c r="A18" s="155" t="str">
        <x:f>IF(D18="","",COUNTA($C$6:C18)-COUNTBLANK($C$6:C18)+3)</x:f>
        <x:v/>
      </x:c>
      <x:c r="B18" s="156" t="str">
        <x: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x:f>
        <x:v/>
      </x:c>
      <x:c r="C18" s="156" t="str">
        <x:f>IF(D18="","",IF(OR(D18="교육지원과"),"소방재난본부",VLOOKUP(D18,구분표!$A$3:$C$258,3,)))</x:f>
        <x:v/>
      </x:c>
      <x:c r="D18" s="226"/>
      <x:c r="E18" s="213"/>
      <x:c r="F18" s="388" t="str">
        <x:f t="shared" ref="F18:G20" si="39">IF($E18="","",IF($E18="2추","직접입력","-"))</x:f>
        <x:v/>
      </x:c>
      <x:c r="G18" s="388" t="str">
        <x:f t="shared" si="39"/>
        <x:v/>
      </x:c>
      <x:c r="H18" s="213"/>
      <x:c r="I18" s="156" t="str">
        <x:f>IF(H18="","",VLOOKUP($H18,구분표!$K$3:$M$151,2,FALSE))</x:f>
        <x:v/>
      </x:c>
      <x:c r="J18" s="156" t="str">
        <x:f>IF(I18="","",VLOOKUP($H18,구분표!$K$3:$M$151,3,FALSE))</x:f>
        <x:v/>
      </x:c>
      <x:c r="K18" s="233"/>
      <x:c r="L18" s="233"/>
      <x:c r="M18" s="459" t="str">
        <x:f t="shared" ref="M18:M20" si="40">IF($E18="","",IF(OR($E18="2추",$E18="1추",$E18="본예산"),"금액입력","-"))</x:f>
        <x:v/>
      </x:c>
      <x:c r="N18" s="459" t="str">
        <x:f t="shared" ref="N18:N20" si="41">IF($E18="","",IF($E18="2추","금액입력","-"))</x:f>
        <x:v/>
      </x:c>
      <x:c r="O18" s="461" t="str">
        <x:f t="shared" si="32"/>
        <x:v/>
      </x:c>
      <x:c r="P18" s="460"/>
      <x:c r="Q18" s="461">
        <x:f t="shared" si="33"/>
        <x:v>0</x:v>
      </x:c>
      <x:c r="R18" s="462"/>
      <x:c r="S18" s="463">
        <x:f t="shared" si="34"/>
        <x:v>0</x:v>
      </x:c>
      <x:c r="T18" s="162" t="str">
        <x:f t="shared" si="35"/>
        <x:v>X</x:v>
      </x:c>
      <x:c r="U18" s="233"/>
      <x:c r="V18" s="224"/>
      <x:c r="W18" s="217"/>
      <x:c r="X18" s="234"/>
      <x:c r="Y18" s="217"/>
      <x:c r="Z18" s="356" t="str">
        <x:f t="shared" si="36"/>
        <x:v/>
      </x:c>
      <x:c r="AA18" s="164"/>
      <x:c r="AB18" s="486" t="str">
        <x:f t="shared" si="2"/>
        <x:v/>
      </x:c>
      <x:c r="AC18" s="487">
        <x:f t="shared" si="37"/>
        <x:v>0</x:v>
      </x:c>
      <x:c r="AD18" s="356" t="str">
        <x:f t="shared" si="3"/>
        <x:v>OK</x:v>
      </x:c>
      <x:c r="AF18" s="502" t="str">
        <x:f t="shared" si="4"/>
        <x:v/>
      </x:c>
      <x:c r="AG18" s="503">
        <x:f t="shared" si="38"/>
        <x:v>0</x:v>
      </x:c>
      <x:c r="AH18" s="381" t="str">
        <x:f t="shared" si="5"/>
        <x:v>OK</x:v>
      </x:c>
      <x:c r="AI18" s="48"/>
      <x:c r="AJ18" s="221" t="str">
        <x:f t="shared" si="6"/>
        <x:v/>
      </x:c>
      <x:c r="AK18" s="356" t="str">
        <x:f t="shared" si="7"/>
        <x:v/>
      </x:c>
      <x:c r="AL18" s="356" t="str">
        <x:f t="shared" si="8"/>
        <x:v/>
      </x:c>
      <x:c r="AM18" s="356" t="str">
        <x:f t="shared" si="9"/>
        <x:v/>
      </x:c>
      <x:c r="AN18" s="356" t="str">
        <x:f>IF($AM18="","",IF($AM18="도비","OK",IF($AJ18="세입없음","OK",IF($AJ18="세입번호입력","@@",IF(VLOOKUP($AJ18,'4. 특입'!$AF$6:$AG$1000,2,FALSE)='4. 특출'!$AM18,"OK","@@")))))</x:f>
        <x:v/>
      </x:c>
      <x:c r="AO18" s="69"/>
      <x:c r="AP18" s="383"/>
      <x:c r="AQ18" s="28"/>
    </x:row>
    <x:row r="19" spans="1:42" ht="80.099999999999994" customHeight="1">
      <x:c r="A19" s="155" t="str">
        <x:f>IF(D19="","",COUNTA($C$6:C19)-COUNTBLANK($C$6:C19)+3)</x:f>
        <x:v/>
      </x:c>
      <x:c r="B19" s="156" t="str">
        <x: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x:f>
        <x:v/>
      </x:c>
      <x:c r="C19" s="156" t="str">
        <x:f>IF(D19="","",IF(OR(D19="교육지원과"),"소방재난본부",VLOOKUP(D19,구분표!$A$3:$C$258,3,)))</x:f>
        <x:v/>
      </x:c>
      <x:c r="D19" s="226"/>
      <x:c r="E19" s="213"/>
      <x:c r="F19" s="388" t="str">
        <x:f t="shared" si="39"/>
        <x:v/>
      </x:c>
      <x:c r="G19" s="388" t="str">
        <x:f t="shared" si="39"/>
        <x:v/>
      </x:c>
      <x:c r="H19" s="213"/>
      <x:c r="I19" s="156" t="str">
        <x:f>IF(H19="","",VLOOKUP($H19,구분표!$K$3:$M$151,2,FALSE))</x:f>
        <x:v/>
      </x:c>
      <x:c r="J19" s="156" t="str">
        <x:f>IF(I19="","",VLOOKUP($H19,구분표!$K$3:$M$151,3,FALSE))</x:f>
        <x:v/>
      </x:c>
      <x:c r="K19" s="233"/>
      <x:c r="L19" s="233"/>
      <x:c r="M19" s="459" t="str">
        <x:f t="shared" si="40"/>
        <x:v/>
      </x:c>
      <x:c r="N19" s="459" t="str">
        <x:f t="shared" si="41"/>
        <x:v/>
      </x:c>
      <x:c r="O19" s="461" t="str">
        <x:f t="shared" si="32"/>
        <x:v/>
      </x:c>
      <x:c r="P19" s="460"/>
      <x:c r="Q19" s="461">
        <x:f t="shared" si="33"/>
        <x:v>0</x:v>
      </x:c>
      <x:c r="R19" s="462"/>
      <x:c r="S19" s="463">
        <x:f t="shared" si="34"/>
        <x:v>0</x:v>
      </x:c>
      <x:c r="T19" s="162" t="str">
        <x:f t="shared" si="35"/>
        <x:v>X</x:v>
      </x:c>
      <x:c r="U19" s="233"/>
      <x:c r="V19" s="224"/>
      <x:c r="W19" s="217"/>
      <x:c r="X19" s="234"/>
      <x:c r="Y19" s="217"/>
      <x:c r="Z19" s="356" t="str">
        <x:f t="shared" si="36"/>
        <x:v/>
      </x:c>
      <x:c r="AA19" s="164"/>
      <x:c r="AB19" s="486" t="str">
        <x:f t="shared" si="2"/>
        <x:v/>
      </x:c>
      <x:c r="AC19" s="487">
        <x:f t="shared" si="37"/>
        <x:v>0</x:v>
      </x:c>
      <x:c r="AD19" s="356" t="str">
        <x:f t="shared" si="3"/>
        <x:v>OK</x:v>
      </x:c>
      <x:c r="AF19" s="502" t="str">
        <x:f t="shared" si="4"/>
        <x:v/>
      </x:c>
      <x:c r="AG19" s="503">
        <x:f t="shared" si="38"/>
        <x:v>0</x:v>
      </x:c>
      <x:c r="AH19" s="381" t="str">
        <x:f t="shared" si="5"/>
        <x:v>OK</x:v>
      </x:c>
      <x:c r="AI19" s="48"/>
      <x:c r="AJ19" s="221" t="str">
        <x:f t="shared" si="6"/>
        <x:v/>
      </x:c>
      <x:c r="AK19" s="356" t="str">
        <x:f t="shared" si="7"/>
        <x:v/>
      </x:c>
      <x:c r="AL19" s="356" t="str">
        <x:f t="shared" si="8"/>
        <x:v/>
      </x:c>
      <x:c r="AM19" s="356" t="str">
        <x:f t="shared" si="9"/>
        <x:v/>
      </x:c>
      <x:c r="AN19" s="356" t="str">
        <x:f>IF($AM19="","",IF($AM19="도비","OK",IF($AJ19="세입없음","OK",IF($AJ19="세입번호입력","@@",IF(VLOOKUP($AJ19,'4. 특입'!$AF$6:$AG$1000,2,FALSE)='4. 특출'!$AM19,"OK","@@")))))</x:f>
        <x:v/>
      </x:c>
      <x:c r="AO19" s="69"/>
      <x:c r="AP19" s="383"/>
    </x:row>
    <x:row r="20" spans="1:42" ht="80.099999999999994" customHeight="1">
      <x:c r="A20" s="155" t="str">
        <x:f>IF(D20="","",COUNTA($C$6:C20)-COUNTBLANK($C$6:C20)+3)</x:f>
        <x:v/>
      </x:c>
      <x:c r="B20" s="156" t="str">
        <x: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x:f>
        <x:v/>
      </x:c>
      <x:c r="C20" s="156" t="str">
        <x:f>IF(D20="","",IF(OR(D20="교육지원과"),"소방재난본부",VLOOKUP(D20,구분표!$A$3:$C$258,3,)))</x:f>
        <x:v/>
      </x:c>
      <x:c r="D20" s="226"/>
      <x:c r="E20" s="213"/>
      <x:c r="F20" s="388" t="str">
        <x:f t="shared" si="39"/>
        <x:v/>
      </x:c>
      <x:c r="G20" s="388" t="str">
        <x:f t="shared" si="39"/>
        <x:v/>
      </x:c>
      <x:c r="H20" s="213"/>
      <x:c r="I20" s="156" t="str">
        <x:f>IF(H20="","",VLOOKUP($H20,구분표!$K$3:$M$151,2,FALSE))</x:f>
        <x:v/>
      </x:c>
      <x:c r="J20" s="156" t="str">
        <x:f>IF(I20="","",VLOOKUP($H20,구분표!$K$3:$M$151,3,FALSE))</x:f>
        <x:v/>
      </x:c>
      <x:c r="K20" s="233"/>
      <x:c r="L20" s="233"/>
      <x:c r="M20" s="459" t="str">
        <x:f t="shared" si="40"/>
        <x:v/>
      </x:c>
      <x:c r="N20" s="459" t="str">
        <x:f t="shared" si="41"/>
        <x:v/>
      </x:c>
      <x:c r="O20" s="461" t="str">
        <x:f t="shared" si="32"/>
        <x:v/>
      </x:c>
      <x:c r="P20" s="460"/>
      <x:c r="Q20" s="461">
        <x:f t="shared" si="33"/>
        <x:v>0</x:v>
      </x:c>
      <x:c r="R20" s="462"/>
      <x:c r="S20" s="463">
        <x:f t="shared" si="34"/>
        <x:v>0</x:v>
      </x:c>
      <x:c r="T20" s="162" t="str">
        <x:f t="shared" si="35"/>
        <x:v>X</x:v>
      </x:c>
      <x:c r="U20" s="233"/>
      <x:c r="V20" s="224"/>
      <x:c r="W20" s="217"/>
      <x:c r="X20" s="234"/>
      <x:c r="Y20" s="217"/>
      <x:c r="Z20" s="356" t="str">
        <x:f t="shared" si="36"/>
        <x:v/>
      </x:c>
      <x:c r="AA20" s="164"/>
      <x:c r="AB20" s="486" t="str">
        <x:f t="shared" si="2"/>
        <x:v/>
      </x:c>
      <x:c r="AC20" s="487">
        <x:f t="shared" si="37"/>
        <x:v>0</x:v>
      </x:c>
      <x:c r="AD20" s="356" t="str">
        <x:f t="shared" si="3"/>
        <x:v>OK</x:v>
      </x:c>
      <x:c r="AF20" s="502" t="str">
        <x:f t="shared" si="4"/>
        <x:v/>
      </x:c>
      <x:c r="AG20" s="503">
        <x:f t="shared" si="38"/>
        <x:v>0</x:v>
      </x:c>
      <x:c r="AH20" s="381" t="str">
        <x:f t="shared" si="5"/>
        <x:v>OK</x:v>
      </x:c>
      <x:c r="AI20" s="48"/>
      <x:c r="AJ20" s="221" t="str">
        <x:f t="shared" si="6"/>
        <x:v/>
      </x:c>
      <x:c r="AK20" s="356" t="str">
        <x:f t="shared" si="7"/>
        <x:v/>
      </x:c>
      <x:c r="AL20" s="356" t="str">
        <x:f t="shared" si="8"/>
        <x:v/>
      </x:c>
      <x:c r="AM20" s="356" t="str">
        <x:f t="shared" si="9"/>
        <x:v/>
      </x:c>
      <x:c r="AN20" s="356" t="str">
        <x:f>IF($AM20="","",IF($AM20="도비","OK",IF($AJ20="세입없음","OK",IF($AJ20="세입번호입력","@@",IF(VLOOKUP($AJ20,'4. 특입'!$AF$6:$AG$1000,2,FALSE)='4. 특출'!$AM20,"OK","@@")))))</x:f>
        <x:v/>
      </x:c>
      <x:c r="AO20" s="69"/>
      <x:c r="AP20" s="383"/>
    </x:row>
    <x:row r="21" spans="1:42" ht="60" customHeight="1">
      <x:c r="A21" s="174"/>
      <x:c r="B21" s="888" t="s">
        <x:v>1493</x:v>
      </x:c>
      <x:c r="C21" s="888"/>
      <x:c r="D21" s="888"/>
      <x:c r="E21" s="888"/>
      <x:c r="F21" s="888"/>
      <x:c r="G21" s="888"/>
      <x:c r="H21" s="175"/>
      <x:c r="I21" s="175"/>
      <x:c r="J21" s="175"/>
      <x:c r="K21" s="175"/>
      <x:c r="L21" s="353" t="str">
        <x:f>SUBTOTAL(3,L22:L25)&amp;"건"</x:f>
        <x:v>0건</x:v>
      </x:c>
      <x:c r="M21" s="477">
        <x:f t="shared" ref="M21:S21" si="42">SUBTOTAL(9,M22:M25)</x:f>
        <x:v>0</x:v>
      </x:c>
      <x:c r="N21" s="477">
        <x:f t="shared" si="42"/>
        <x:v>0</x:v>
      </x:c>
      <x:c r="O21" s="477">
        <x:f t="shared" si="42"/>
        <x:v>0</x:v>
      </x:c>
      <x:c r="P21" s="477">
        <x:f t="shared" si="42"/>
        <x:v>0</x:v>
      </x:c>
      <x:c r="Q21" s="477">
        <x:f t="shared" si="42"/>
        <x:v>0</x:v>
      </x:c>
      <x:c r="R21" s="477">
        <x:f t="shared" si="42"/>
        <x:v>0</x:v>
      </x:c>
      <x:c r="S21" s="477">
        <x:f t="shared" si="42"/>
        <x:v>0</x:v>
      </x:c>
      <x:c r="T21" s="174"/>
      <x:c r="U21" s="176"/>
      <x:c r="V21" s="176"/>
      <x:c r="W21" s="177"/>
      <x:c r="X21" s="178"/>
      <x:c r="Y21" s="178"/>
      <x:c r="Z21" s="82"/>
      <x:c r="AA21" s="44"/>
      <x:c r="AB21" s="464">
        <x:f>SUBTOTAL(9,AB22:AB25)</x:f>
        <x:v>0</x:v>
      </x:c>
      <x:c r="AC21" s="464">
        <x:f>SUBTOTAL(9,AC22:AC25)</x:f>
        <x:v>0</x:v>
      </x:c>
      <x:c r="AD21" s="556" t="str">
        <x:f>IF(COUNTIF(AD22:AD25,"@@")&gt;0,"@@","OK")</x:f>
        <x:v>OK</x:v>
      </x:c>
      <x:c r="AF21" s="464">
        <x:f>SUBTOTAL(9,AF22:AF25)</x:f>
        <x:v>0</x:v>
      </x:c>
      <x:c r="AG21" s="464">
        <x:f>SUBTOTAL(9,AG22:AG25)</x:f>
        <x:v>0</x:v>
      </x:c>
      <x:c r="AH21" s="556" t="str">
        <x:f>IF(COUNTIF(AH22:AH25,"@@")&gt;0,"@@","OK")</x:f>
        <x:v>OK</x:v>
      </x:c>
      <x:c r="AI21" s="37"/>
      <x:c r="AJ21" s="82"/>
      <x:c r="AK21" s="82"/>
      <x:c r="AL21" s="556" t="str">
        <x:f>IF(COUNTIF(AL22:AL25,"@@")&gt;0,"@@","OK")</x:f>
        <x:v>OK</x:v>
      </x:c>
      <x:c r="AM21" s="82"/>
      <x:c r="AN21" s="556" t="str">
        <x:f>IF(COUNTIF(AN22:AN25,"@@")&gt;0,"@@","OK")</x:f>
        <x:v>OK</x:v>
      </x:c>
      <x:c r="AO21" s="37"/>
      <x:c r="AP21" s="82"/>
    </x:row>
    <x:row r="22" spans="1:43" ht="80.099999999999994" customHeight="1">
      <x:c r="A22" s="155" t="str">
        <x:f>IF(D22="","",COUNTA($C$6:C22)-COUNTBLANK($C$6:C22)+4)</x:f>
        <x:v/>
      </x:c>
      <x:c r="B22" s="156" t="str">
        <x: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x:f>
        <x:v/>
      </x:c>
      <x:c r="C22" s="156" t="str">
        <x:f>IF(D22="","",IF(OR(D22="교육지원과"),"소방재난본부",VLOOKUP(D22,구분표!$A$3:$C$258,3,)))</x:f>
        <x:v/>
      </x:c>
      <x:c r="D22" s="226"/>
      <x:c r="E22" s="213"/>
      <x:c r="F22" s="388" t="str">
        <x:f>IF($E22="","",IF($E22="2추","직접입력","-"))</x:f>
        <x:v/>
      </x:c>
      <x:c r="G22" s="388" t="str">
        <x:f>IF($E22="","",IF($E22="2추","직접입력","-"))</x:f>
        <x:v/>
      </x:c>
      <x:c r="H22" s="213"/>
      <x:c r="I22" s="156" t="str">
        <x:f>IF(H22="","",VLOOKUP($H22,구분표!$K$3:$M$151,2,FALSE))</x:f>
        <x:v/>
      </x:c>
      <x:c r="J22" s="156" t="str">
        <x:f>IF(I22="","",VLOOKUP($H22,구분표!$K$3:$M$151,3,FALSE))</x:f>
        <x:v/>
      </x:c>
      <x:c r="K22" s="233"/>
      <x:c r="L22" s="233"/>
      <x:c r="M22" s="459" t="str">
        <x:f>IF($E22="","",IF(OR($E22="2추",$E22="1추",$E22="본예산"),"금액입력","-"))</x:f>
        <x:v/>
      </x:c>
      <x:c r="N22" s="459" t="str">
        <x:f>IF($E22="","",IF($E22="2추","금액입력","-"))</x:f>
        <x:v/>
      </x:c>
      <x:c r="O22" s="461" t="str">
        <x:f t="shared" ref="O22:O25" si="43">IF($E22="","",SUM(M22:N22))</x:f>
        <x:v/>
      </x:c>
      <x:c r="P22" s="460"/>
      <x:c r="Q22" s="461">
        <x:f t="shared" ref="Q22:Q25" si="44">SUM(O22:P22)</x:f>
        <x:v>0</x:v>
      </x:c>
      <x:c r="R22" s="462"/>
      <x:c r="S22" s="463">
        <x:f t="shared" ref="S22:S25" si="45">SUM(O22,R22)</x:f>
        <x:v>0</x:v>
      </x:c>
      <x:c r="T22" s="162" t="str">
        <x:f t="shared" ref="T22:T25" si="46">IF(AND((Q22=0),(S22&gt;0)),"O",IF(AND((P22&lt;0),(Q22-S22&lt;0)),"O","X"))</x:f>
        <x:v>X</x:v>
      </x:c>
      <x:c r="U22" s="233"/>
      <x:c r="V22" s="224"/>
      <x:c r="W22" s="217"/>
      <x:c r="X22" s="234"/>
      <x:c r="Y22" s="217"/>
      <x:c r="Z22" s="356" t="str">
        <x:f t="shared" ref="Z22:Z25" si="47">IF($K22="","",IF(COUNT(FIND("국비/",$K22)),"국도비",IF(COUNT(FIND("균특/",$K22)),"국도비",IF(COUNT(FIND("기금/",$K22)),"국도비",IF(COUNT(FIND("교부세/",$K22)),"국도비",IF(COUNT(FIND("소방안전/",$K22)),"국도비",IF(COUNT(FIND("소멸대응/",$K22)),"국도비","도비")))))))</x:f>
        <x:v/>
      </x:c>
      <x:c r="AA22" s="164"/>
      <x:c r="AB22" s="486" t="str">
        <x:f t="shared" si="2"/>
        <x:v/>
      </x:c>
      <x:c r="AC22" s="487">
        <x:f t="shared" ref="AC22:AC25" si="48">IFERROR(P22-AB22,0)</x:f>
        <x:v>0</x:v>
      </x:c>
      <x:c r="AD22" s="356" t="str">
        <x:f t="shared" si="3"/>
        <x:v>OK</x:v>
      </x:c>
      <x:c r="AF22" s="502" t="str">
        <x:f t="shared" si="4"/>
        <x:v/>
      </x:c>
      <x:c r="AG22" s="503">
        <x:f t="shared" ref="AG22:AG25" si="49">IFERROR(R22-AF22,0)</x:f>
        <x:v>0</x:v>
      </x:c>
      <x:c r="AH22" s="381" t="str">
        <x:f t="shared" si="5"/>
        <x:v>OK</x:v>
      </x:c>
      <x:c r="AI22" s="48"/>
      <x:c r="AJ22" s="221" t="str">
        <x:f t="shared" si="6"/>
        <x:v/>
      </x:c>
      <x:c r="AK22" s="356" t="str">
        <x:f t="shared" si="7"/>
        <x:v/>
      </x:c>
      <x:c r="AL22" s="356" t="str">
        <x:f t="shared" si="8"/>
        <x:v/>
      </x:c>
      <x:c r="AM22" s="356" t="str">
        <x:f t="shared" si="9"/>
        <x:v/>
      </x:c>
      <x:c r="AN22" s="356" t="str">
        <x:f>IF($AM22="","",IF($AM22="도비","OK",IF($AJ22="세입없음","OK",IF($AJ22="세입번호입력","@@",IF(VLOOKUP($AJ22,'4. 특입'!$AF$6:$AG$1000,2,FALSE)='4. 특출'!$AM22,"OK","@@")))))</x:f>
        <x:v/>
      </x:c>
      <x:c r="AO22" s="69"/>
      <x:c r="AP22" s="383"/>
      <x:c r="AQ22" s="28"/>
    </x:row>
    <x:row r="23" spans="1:43" ht="80.099999999999994" customHeight="1">
      <x:c r="A23" s="155" t="str">
        <x:f>IF(D23="","",COUNTA($C$6:C23)-COUNTBLANK($C$6:C23)+4)</x:f>
        <x:v/>
      </x:c>
      <x:c r="B23" s="156" t="str">
        <x: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x:f>
        <x:v/>
      </x:c>
      <x:c r="C23" s="156" t="str">
        <x:f>IF(D23="","",IF(OR(D23="교육지원과"),"소방재난본부",VLOOKUP(D23,구분표!$A$3:$C$258,3,)))</x:f>
        <x:v/>
      </x:c>
      <x:c r="D23" s="226"/>
      <x:c r="E23" s="213"/>
      <x:c r="F23" s="388" t="str">
        <x:f t="shared" ref="F23:G25" si="50">IF($E23="","",IF($E23="2추","직접입력","-"))</x:f>
        <x:v/>
      </x:c>
      <x:c r="G23" s="388" t="str">
        <x:f t="shared" si="50"/>
        <x:v/>
      </x:c>
      <x:c r="H23" s="213"/>
      <x:c r="I23" s="156" t="str">
        <x:f>IF(H23="","",VLOOKUP($H23,구분표!$K$3:$M$151,2,FALSE))</x:f>
        <x:v/>
      </x:c>
      <x:c r="J23" s="156" t="str">
        <x:f>IF(I23="","",VLOOKUP($H23,구분표!$K$3:$M$151,3,FALSE))</x:f>
        <x:v/>
      </x:c>
      <x:c r="K23" s="233"/>
      <x:c r="L23" s="233"/>
      <x:c r="M23" s="459" t="str">
        <x:f t="shared" ref="M23:M25" si="51">IF($E23="","",IF(OR($E23="2추",$E23="1추",$E23="본예산"),"금액입력","-"))</x:f>
        <x:v/>
      </x:c>
      <x:c r="N23" s="459" t="str">
        <x:f t="shared" ref="N23:N25" si="52">IF($E23="","",IF($E23="2추","금액입력","-"))</x:f>
        <x:v/>
      </x:c>
      <x:c r="O23" s="461" t="str">
        <x:f t="shared" si="43"/>
        <x:v/>
      </x:c>
      <x:c r="P23" s="460"/>
      <x:c r="Q23" s="461">
        <x:f t="shared" si="44"/>
        <x:v>0</x:v>
      </x:c>
      <x:c r="R23" s="462"/>
      <x:c r="S23" s="463">
        <x:f t="shared" si="45"/>
        <x:v>0</x:v>
      </x:c>
      <x:c r="T23" s="162" t="str">
        <x:f t="shared" si="46"/>
        <x:v>X</x:v>
      </x:c>
      <x:c r="U23" s="233"/>
      <x:c r="V23" s="224"/>
      <x:c r="W23" s="217"/>
      <x:c r="X23" s="234"/>
      <x:c r="Y23" s="217"/>
      <x:c r="Z23" s="356" t="str">
        <x:f t="shared" si="47"/>
        <x:v/>
      </x:c>
      <x:c r="AA23" s="164"/>
      <x:c r="AB23" s="486" t="str">
        <x:f t="shared" si="2"/>
        <x:v/>
      </x:c>
      <x:c r="AC23" s="487">
        <x:f t="shared" si="48"/>
        <x:v>0</x:v>
      </x:c>
      <x:c r="AD23" s="356" t="str">
        <x:f t="shared" si="3"/>
        <x:v>OK</x:v>
      </x:c>
      <x:c r="AF23" s="502" t="str">
        <x:f t="shared" si="4"/>
        <x:v/>
      </x:c>
      <x:c r="AG23" s="503">
        <x:f t="shared" si="49"/>
        <x:v>0</x:v>
      </x:c>
      <x:c r="AH23" s="381" t="str">
        <x:f t="shared" si="5"/>
        <x:v>OK</x:v>
      </x:c>
      <x:c r="AI23" s="48"/>
      <x:c r="AJ23" s="221" t="str">
        <x:f t="shared" si="6"/>
        <x:v/>
      </x:c>
      <x:c r="AK23" s="356" t="str">
        <x:f t="shared" si="7"/>
        <x:v/>
      </x:c>
      <x:c r="AL23" s="356" t="str">
        <x:f t="shared" si="8"/>
        <x:v/>
      </x:c>
      <x:c r="AM23" s="356" t="str">
        <x:f t="shared" si="9"/>
        <x:v/>
      </x:c>
      <x:c r="AN23" s="356" t="str">
        <x:f>IF($AM23="","",IF($AM23="도비","OK",IF($AJ23="세입없음","OK",IF($AJ23="세입번호입력","@@",IF(VLOOKUP($AJ23,'4. 특입'!$AF$6:$AG$1000,2,FALSE)='4. 특출'!$AM23,"OK","@@")))))</x:f>
        <x:v/>
      </x:c>
      <x:c r="AO23" s="69"/>
      <x:c r="AP23" s="383"/>
      <x:c r="AQ23" s="28"/>
    </x:row>
    <x:row r="24" spans="1:42" ht="80.099999999999994" customHeight="1">
      <x:c r="A24" s="155" t="str">
        <x:f>IF(D24="","",COUNTA($C$6:C24)-COUNTBLANK($C$6:C24)+4)</x:f>
        <x:v/>
      </x:c>
      <x:c r="B24" s="156" t="str">
        <x: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x:f>
        <x:v/>
      </x:c>
      <x:c r="C24" s="156" t="str">
        <x:f>IF(D24="","",IF(OR(D24="교육지원과"),"소방재난본부",VLOOKUP(D24,구분표!$A$3:$C$258,3,)))</x:f>
        <x:v/>
      </x:c>
      <x:c r="D24" s="226"/>
      <x:c r="E24" s="213"/>
      <x:c r="F24" s="388" t="str">
        <x:f t="shared" si="50"/>
        <x:v/>
      </x:c>
      <x:c r="G24" s="388" t="str">
        <x:f t="shared" si="50"/>
        <x:v/>
      </x:c>
      <x:c r="H24" s="213"/>
      <x:c r="I24" s="156" t="str">
        <x:f>IF(H24="","",VLOOKUP($H24,구분표!$K$3:$M$151,2,FALSE))</x:f>
        <x:v/>
      </x:c>
      <x:c r="J24" s="156" t="str">
        <x:f>IF(I24="","",VLOOKUP($H24,구분표!$K$3:$M$151,3,FALSE))</x:f>
        <x:v/>
      </x:c>
      <x:c r="K24" s="233"/>
      <x:c r="L24" s="233"/>
      <x:c r="M24" s="459" t="str">
        <x:f t="shared" si="51"/>
        <x:v/>
      </x:c>
      <x:c r="N24" s="459" t="str">
        <x:f t="shared" si="52"/>
        <x:v/>
      </x:c>
      <x:c r="O24" s="461" t="str">
        <x:f t="shared" si="43"/>
        <x:v/>
      </x:c>
      <x:c r="P24" s="460"/>
      <x:c r="Q24" s="461">
        <x:f t="shared" si="44"/>
        <x:v>0</x:v>
      </x:c>
      <x:c r="R24" s="462"/>
      <x:c r="S24" s="463">
        <x:f t="shared" si="45"/>
        <x:v>0</x:v>
      </x:c>
      <x:c r="T24" s="162" t="str">
        <x:f t="shared" si="46"/>
        <x:v>X</x:v>
      </x:c>
      <x:c r="U24" s="233"/>
      <x:c r="V24" s="224"/>
      <x:c r="W24" s="217"/>
      <x:c r="X24" s="234"/>
      <x:c r="Y24" s="217"/>
      <x:c r="Z24" s="356" t="str">
        <x:f t="shared" si="47"/>
        <x:v/>
      </x:c>
      <x:c r="AA24" s="164"/>
      <x:c r="AB24" s="486" t="str">
        <x:f t="shared" si="2"/>
        <x:v/>
      </x:c>
      <x:c r="AC24" s="487">
        <x:f t="shared" si="48"/>
        <x:v>0</x:v>
      </x:c>
      <x:c r="AD24" s="356" t="str">
        <x:f t="shared" si="3"/>
        <x:v>OK</x:v>
      </x:c>
      <x:c r="AF24" s="502" t="str">
        <x:f t="shared" si="4"/>
        <x:v/>
      </x:c>
      <x:c r="AG24" s="503">
        <x:f t="shared" si="49"/>
        <x:v>0</x:v>
      </x:c>
      <x:c r="AH24" s="381" t="str">
        <x:f t="shared" si="5"/>
        <x:v>OK</x:v>
      </x:c>
      <x:c r="AI24" s="48"/>
      <x:c r="AJ24" s="221" t="str">
        <x:f t="shared" si="6"/>
        <x:v/>
      </x:c>
      <x:c r="AK24" s="356" t="str">
        <x:f t="shared" si="7"/>
        <x:v/>
      </x:c>
      <x:c r="AL24" s="356" t="str">
        <x:f t="shared" si="8"/>
        <x:v/>
      </x:c>
      <x:c r="AM24" s="356" t="str">
        <x:f t="shared" si="9"/>
        <x:v/>
      </x:c>
      <x:c r="AN24" s="356" t="str">
        <x:f>IF($AM24="","",IF($AM24="도비","OK",IF($AJ24="세입없음","OK",IF($AJ24="세입번호입력","@@",IF(VLOOKUP($AJ24,'4. 특입'!$AF$6:$AG$1000,2,FALSE)='4. 특출'!$AM24,"OK","@@")))))</x:f>
        <x:v/>
      </x:c>
      <x:c r="AO24" s="69"/>
      <x:c r="AP24" s="383"/>
    </x:row>
    <x:row r="25" spans="1:42" ht="80.099999999999994" customHeight="1">
      <x:c r="A25" s="155" t="str">
        <x:f>IF(D25="","",COUNTA($C$6:C25)-COUNTBLANK($C$6:C25)+4)</x:f>
        <x:v/>
      </x:c>
      <x:c r="B25" s="156" t="str">
        <x: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x:f>
        <x:v/>
      </x:c>
      <x:c r="C25" s="156" t="str">
        <x:f>IF(D25="","",IF(OR(D25="교육지원과"),"소방재난본부",VLOOKUP(D25,구분표!$A$3:$C$258,3,)))</x:f>
        <x:v/>
      </x:c>
      <x:c r="D25" s="226"/>
      <x:c r="E25" s="213"/>
      <x:c r="F25" s="388" t="str">
        <x:f t="shared" si="50"/>
        <x:v/>
      </x:c>
      <x:c r="G25" s="388" t="str">
        <x:f t="shared" si="50"/>
        <x:v/>
      </x:c>
      <x:c r="H25" s="213"/>
      <x:c r="I25" s="156" t="str">
        <x:f>IF(H25="","",VLOOKUP($H25,구분표!$K$3:$M$151,2,FALSE))</x:f>
        <x:v/>
      </x:c>
      <x:c r="J25" s="156" t="str">
        <x:f>IF(I25="","",VLOOKUP($H25,구분표!$K$3:$M$151,3,FALSE))</x:f>
        <x:v/>
      </x:c>
      <x:c r="K25" s="233"/>
      <x:c r="L25" s="233"/>
      <x:c r="M25" s="459" t="str">
        <x:f t="shared" si="51"/>
        <x:v/>
      </x:c>
      <x:c r="N25" s="459" t="str">
        <x:f t="shared" si="52"/>
        <x:v/>
      </x:c>
      <x:c r="O25" s="461" t="str">
        <x:f t="shared" si="43"/>
        <x:v/>
      </x:c>
      <x:c r="P25" s="460"/>
      <x:c r="Q25" s="461">
        <x:f t="shared" si="44"/>
        <x:v>0</x:v>
      </x:c>
      <x:c r="R25" s="462"/>
      <x:c r="S25" s="463">
        <x:f t="shared" si="45"/>
        <x:v>0</x:v>
      </x:c>
      <x:c r="T25" s="162" t="str">
        <x:f t="shared" si="46"/>
        <x:v>X</x:v>
      </x:c>
      <x:c r="U25" s="233"/>
      <x:c r="V25" s="224"/>
      <x:c r="W25" s="217"/>
      <x:c r="X25" s="234"/>
      <x:c r="Y25" s="217"/>
      <x:c r="Z25" s="356" t="str">
        <x:f t="shared" si="47"/>
        <x:v/>
      </x:c>
      <x:c r="AA25" s="164"/>
      <x:c r="AB25" s="486" t="str">
        <x:f t="shared" si="2"/>
        <x:v/>
      </x:c>
      <x:c r="AC25" s="487">
        <x:f t="shared" si="48"/>
        <x:v>0</x:v>
      </x:c>
      <x:c r="AD25" s="356" t="str">
        <x:f t="shared" si="3"/>
        <x:v>OK</x:v>
      </x:c>
      <x:c r="AF25" s="502" t="str">
        <x:f t="shared" si="4"/>
        <x:v/>
      </x:c>
      <x:c r="AG25" s="503">
        <x:f t="shared" si="49"/>
        <x:v>0</x:v>
      </x:c>
      <x:c r="AH25" s="381" t="str">
        <x:f t="shared" si="5"/>
        <x:v>OK</x:v>
      </x:c>
      <x:c r="AI25" s="48"/>
      <x:c r="AJ25" s="221" t="str">
        <x:f t="shared" si="6"/>
        <x:v/>
      </x:c>
      <x:c r="AK25" s="356" t="str">
        <x:f t="shared" si="7"/>
        <x:v/>
      </x:c>
      <x:c r="AL25" s="356" t="str">
        <x:f t="shared" si="8"/>
        <x:v/>
      </x:c>
      <x:c r="AM25" s="356" t="str">
        <x:f t="shared" si="9"/>
        <x:v/>
      </x:c>
      <x:c r="AN25" s="356" t="str">
        <x:f>IF($AM25="","",IF($AM25="도비","OK",IF($AJ25="세입없음","OK",IF($AJ25="세입번호입력","@@",IF(VLOOKUP($AJ25,'4. 특입'!$AF$6:$AG$1000,2,FALSE)='4. 특출'!$AM25,"OK","@@")))))</x:f>
        <x:v/>
      </x:c>
      <x:c r="AO25" s="69"/>
      <x:c r="AP25" s="383"/>
    </x:row>
    <x:row r="26" spans="1:42" ht="60" customHeight="1">
      <x:c r="A26" s="174"/>
      <x:c r="B26" s="888" t="s">
        <x:v>856</x:v>
      </x:c>
      <x:c r="C26" s="888"/>
      <x:c r="D26" s="888"/>
      <x:c r="E26" s="888"/>
      <x:c r="F26" s="888"/>
      <x:c r="G26" s="888"/>
      <x:c r="H26" s="175"/>
      <x:c r="I26" s="175"/>
      <x:c r="J26" s="175"/>
      <x:c r="K26" s="175"/>
      <x:c r="L26" s="353" t="str">
        <x:f>SUBTOTAL(3,L27:L30)&amp;"건"</x:f>
        <x:v>1건</x:v>
      </x:c>
      <x:c r="M26" s="477">
        <x:f t="shared" ref="M26:S26" si="53">SUBTOTAL(9,M27:M30)</x:f>
        <x:v>0</x:v>
      </x:c>
      <x:c r="N26" s="477">
        <x:f t="shared" si="53"/>
        <x:v>6881931</x:v>
      </x:c>
      <x:c r="O26" s="477">
        <x:f t="shared" si="53"/>
        <x:v>6881931</x:v>
      </x:c>
      <x:c r="P26" s="477">
        <x:f t="shared" si="53"/>
        <x:v>-6800000</x:v>
      </x:c>
      <x:c r="Q26" s="477">
        <x:f t="shared" si="53"/>
        <x:v>81931</x:v>
      </x:c>
      <x:c r="R26" s="477">
        <x:f t="shared" si="53"/>
        <x:v>0</x:v>
      </x:c>
      <x:c r="S26" s="477">
        <x:f t="shared" si="53"/>
        <x:v>6881931</x:v>
      </x:c>
      <x:c r="T26" s="174"/>
      <x:c r="U26" s="176"/>
      <x:c r="V26" s="176"/>
      <x:c r="W26" s="177"/>
      <x:c r="X26" s="178"/>
      <x:c r="Y26" s="178"/>
      <x:c r="Z26" s="82"/>
      <x:c r="AA26" s="44"/>
      <x:c r="AB26" s="464">
        <x:f>SUBTOTAL(9,AB27:AB30)</x:f>
        <x:v>0</x:v>
      </x:c>
      <x:c r="AC26" s="464">
        <x:f>SUBTOTAL(9,AC27:AC30)</x:f>
        <x:v>-6800000</x:v>
      </x:c>
      <x:c r="AD26" s="556" t="str">
        <x:f>IF(COUNTIF(AD27:AD30,"@@")&gt;0,"@@","OK")</x:f>
        <x:v>OK</x:v>
      </x:c>
      <x:c r="AF26" s="464">
        <x:f>SUBTOTAL(9,AF27:AF30)</x:f>
        <x:v>0</x:v>
      </x:c>
      <x:c r="AG26" s="464">
        <x:f>SUBTOTAL(9,AG27:AG30)</x:f>
        <x:v>0</x:v>
      </x:c>
      <x:c r="AH26" s="556" t="str">
        <x:f>IF(COUNTIF(AH27:AH30,"@@")&gt;0,"@@","OK")</x:f>
        <x:v>OK</x:v>
      </x:c>
      <x:c r="AI26" s="37"/>
      <x:c r="AJ26" s="82"/>
      <x:c r="AK26" s="82"/>
      <x:c r="AL26" s="556" t="str">
        <x:f>IF(COUNTIF(AL27:AL30,"@@")&gt;0,"@@","OK")</x:f>
        <x:v>OK</x:v>
      </x:c>
      <x:c r="AM26" s="82"/>
      <x:c r="AN26" s="556" t="str">
        <x:f>IF(COUNTIF(AN27:AN30,"@@")&gt;0,"@@","OK")</x:f>
        <x:v>OK</x:v>
      </x:c>
      <x:c r="AO26" s="37"/>
      <x:c r="AP26" s="82"/>
    </x:row>
    <x:row r="27" spans="1:43" ht="80.099999999999994" customHeight="1">
      <x:c r="A27" s="155">
        <x:f>IF(D27="","",COUNTA($C$6:C27)-COUNTBLANK($C$6:C27)+5)</x:f>
        <x:v>1</x:v>
      </x:c>
      <x:c r="B27" s="156" t="str">
        <x: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x:f>
        <x:v>도시환경위원회</x:v>
      </x:c>
      <x:c r="C27" s="156" t="str">
        <x:f>IF(D27="","",IF(OR(D27="교육지원과"),"소방재난본부",VLOOKUP(D27,구분표!$A$3:$C$258,3,)))</x:f>
        <x:v>도시주택실</x:v>
      </x:c>
      <x:c r="D27" s="226" t="s">
        <x:v>885</x:v>
      </x:c>
      <x:c r="E27" s="213" t="s">
        <x:v>414</x:v>
      </x:c>
      <x:c r="F27" s="388">
        <x:v>1005</x:v>
      </x:c>
      <x:c r="G27" s="388">
        <x:v>186</x:v>
      </x:c>
      <x:c r="H27" s="213" t="s">
        <x:v>662</x:v>
      </x:c>
      <x:c r="I27" s="156" t="str">
        <x:f>IF(H27="","",VLOOKUP($H27,구분표!$K$3:$M$151,2,FALSE))</x:f>
        <x:v>예탁금</x:v>
      </x:c>
      <x:c r="J27" s="156" t="str">
        <x:f>IF(I27="","",VLOOKUP($H27,구분표!$K$3:$M$151,3,FALSE))</x:f>
        <x:v>예탁금</x:v>
      </x:c>
      <x:c r="K27" s="233" t="s">
        <x:v>1690</x:v>
      </x:c>
      <x:c r="L27" s="233" t="s">
        <x:v>1690</x:v>
      </x:c>
      <x:c r="M27" s="459">
        <x:v>0</x:v>
      </x:c>
      <x:c r="N27" s="459">
        <x:v>6881931</x:v>
      </x:c>
      <x:c r="O27" s="461">
        <x:f t="shared" ref="O27:O30" si="54">IF($E27="","",SUM(M27:N27))</x:f>
        <x:v>6881931</x:v>
      </x:c>
      <x:c r="P27" s="460">
        <x:v>-6800000</x:v>
      </x:c>
      <x:c r="Q27" s="461">
        <x:f t="shared" ref="Q27:Q30" si="55">SUM(O27:P27)</x:f>
        <x:v>81931</x:v>
      </x:c>
      <x:c r="R27" s="462"/>
      <x:c r="S27" s="463">
        <x:f t="shared" ref="S27:S30" si="56">SUM(O27,R27)</x:f>
        <x:v>6881931</x:v>
      </x:c>
      <x:c r="T27" s="162" t="str">
        <x:f t="shared" ref="T27:T30" si="57">IF(AND((Q27=0),(S27&gt;0)),"O",IF(AND((P27&lt;0),(Q27-S27&lt;0)),"O","X"))</x:f>
        <x:v>O</x:v>
      </x:c>
      <x:c r="U27" s="233"/>
      <x:c r="V27" s="224"/>
      <x:c r="W27" s="217"/>
      <x:c r="X27" s="234"/>
      <x:c r="Y27" s="217"/>
      <x:c r="Z27" s="356" t="str">
        <x:f t="shared" ref="Z27:Z30" si="58">IF($K27="","",IF(COUNT(FIND("국비/",$K27)),"국도비",IF(COUNT(FIND("균특/",$K27)),"국도비",IF(COUNT(FIND("기금/",$K27)),"국도비",IF(COUNT(FIND("교부세/",$K27)),"국도비",IF(COUNT(FIND("소방안전/",$K27)),"국도비",IF(COUNT(FIND("소멸대응/",$K27)),"국도비","도비")))))))</x:f>
        <x:v>도비</x:v>
      </x:c>
      <x:c r="AA27" s="164"/>
      <x:c r="AB27" s="486">
        <x:f t="shared" si="2"/>
        <x:v>0</x:v>
      </x:c>
      <x:c r="AC27" s="487">
        <x:f t="shared" ref="AC27:AC30" si="59">IFERROR(P27-AB27,0)</x:f>
        <x:v>-6800000</x:v>
      </x:c>
      <x:c r="AD27" s="356" t="str">
        <x:f t="shared" si="3"/>
        <x:v>OK</x:v>
      </x:c>
      <x:c r="AF27" s="502">
        <x:f t="shared" si="4"/>
        <x:v>0</x:v>
      </x:c>
      <x:c r="AG27" s="503">
        <x:f t="shared" ref="AG27:AG30" si="60">IFERROR(R27-AF27,0)</x:f>
        <x:v>0</x:v>
      </x:c>
      <x:c r="AH27" s="381" t="str">
        <x:f t="shared" si="5"/>
        <x:v>OK</x:v>
      </x:c>
      <x:c r="AI27" s="48"/>
      <x:c r="AJ27" s="221" t="str">
        <x:f t="shared" si="6"/>
        <x:v>-</x:v>
      </x:c>
      <x:c r="AK27" s="356" t="str">
        <x:f t="shared" si="7"/>
        <x:v/>
      </x:c>
      <x:c r="AL27" s="356" t="str">
        <x:f t="shared" si="8"/>
        <x:v>OK</x:v>
      </x:c>
      <x:c r="AM27" s="356" t="str">
        <x:f t="shared" si="9"/>
        <x:v>도비</x:v>
      </x:c>
      <x:c r="AN27" s="356" t="str">
        <x:f>IF($AM27="","",IF($AM27="도비","OK",IF($AJ27="세입없음","OK",IF($AJ27="세입번호입력","@@",IF(VLOOKUP($AJ27,'4. 특입'!$AF$6:$AG$1000,2,FALSE)='4. 특출'!$AM27,"OK","@@")))))</x:f>
        <x:v>OK</x:v>
      </x:c>
      <x:c r="AO27" s="69"/>
      <x:c r="AP27" s="383"/>
      <x:c r="AQ27" s="28"/>
    </x:row>
    <x:row r="28" spans="1:43" ht="80.099999999999994" customHeight="1">
      <x:c r="A28" s="155" t="str">
        <x:f>IF(D28="","",COUNTA($C$6:C28)-COUNTBLANK($C$6:C28)+5)</x:f>
        <x:v/>
      </x:c>
      <x:c r="B28" s="156" t="str">
        <x: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x:f>
        <x:v/>
      </x:c>
      <x:c r="C28" s="156" t="str">
        <x:f>IF(D28="","",IF(OR(D28="교육지원과"),"소방재난본부",VLOOKUP(D28,구분표!$A$3:$C$258,3,)))</x:f>
        <x:v/>
      </x:c>
      <x:c r="D28" s="226"/>
      <x:c r="E28" s="213"/>
      <x:c r="F28" s="388" t="str">
        <x:f t="shared" ref="F28:G30" si="61">IF($E28="","",IF($E28="2추","직접입력","-"))</x:f>
        <x:v/>
      </x:c>
      <x:c r="G28" s="388" t="str">
        <x:f t="shared" si="61"/>
        <x:v/>
      </x:c>
      <x:c r="H28" s="213"/>
      <x:c r="I28" s="156" t="str">
        <x:f>IF(H28="","",VLOOKUP($H28,구분표!$K$3:$M$151,2,FALSE))</x:f>
        <x:v/>
      </x:c>
      <x:c r="J28" s="156" t="str">
        <x:f>IF(I28="","",VLOOKUP($H28,구분표!$K$3:$M$151,3,FALSE))</x:f>
        <x:v/>
      </x:c>
      <x:c r="K28" s="233"/>
      <x:c r="L28" s="233"/>
      <x:c r="M28" s="459" t="str">
        <x:f t="shared" ref="M28:M30" si="62">IF($E28="","",IF(OR($E28="2추",$E28="1추",$E28="본예산"),"금액입력","-"))</x:f>
        <x:v/>
      </x:c>
      <x:c r="N28" s="459" t="str">
        <x:f t="shared" ref="N28:N30" si="63">IF($E28="","",IF($E28="2추","금액입력","-"))</x:f>
        <x:v/>
      </x:c>
      <x:c r="O28" s="461" t="str">
        <x:f t="shared" si="54"/>
        <x:v/>
      </x:c>
      <x:c r="P28" s="460"/>
      <x:c r="Q28" s="461">
        <x:f t="shared" si="55"/>
        <x:v>0</x:v>
      </x:c>
      <x:c r="R28" s="462"/>
      <x:c r="S28" s="463">
        <x:f t="shared" si="56"/>
        <x:v>0</x:v>
      </x:c>
      <x:c r="T28" s="162" t="str">
        <x:f t="shared" si="57"/>
        <x:v>X</x:v>
      </x:c>
      <x:c r="U28" s="233"/>
      <x:c r="V28" s="224"/>
      <x:c r="W28" s="217"/>
      <x:c r="X28" s="234"/>
      <x:c r="Y28" s="217"/>
      <x:c r="Z28" s="356" t="str">
        <x:f t="shared" si="58"/>
        <x:v/>
      </x:c>
      <x:c r="AA28" s="164"/>
      <x:c r="AB28" s="486" t="str">
        <x:f t="shared" si="2"/>
        <x:v/>
      </x:c>
      <x:c r="AC28" s="487">
        <x:f t="shared" si="59"/>
        <x:v>0</x:v>
      </x:c>
      <x:c r="AD28" s="356" t="str">
        <x:f t="shared" si="3"/>
        <x:v>OK</x:v>
      </x:c>
      <x:c r="AF28" s="502" t="str">
        <x:f t="shared" si="4"/>
        <x:v/>
      </x:c>
      <x:c r="AG28" s="503">
        <x:f t="shared" si="60"/>
        <x:v>0</x:v>
      </x:c>
      <x:c r="AH28" s="381" t="str">
        <x:f t="shared" si="5"/>
        <x:v>OK</x:v>
      </x:c>
      <x:c r="AI28" s="48"/>
      <x:c r="AJ28" s="221" t="str">
        <x:f t="shared" si="6"/>
        <x:v/>
      </x:c>
      <x:c r="AK28" s="356" t="str">
        <x:f t="shared" si="7"/>
        <x:v/>
      </x:c>
      <x:c r="AL28" s="356" t="str">
        <x:f t="shared" si="8"/>
        <x:v/>
      </x:c>
      <x:c r="AM28" s="356" t="str">
        <x:f t="shared" si="9"/>
        <x:v/>
      </x:c>
      <x:c r="AN28" s="356" t="str">
        <x:f>IF($AM28="","",IF($AM28="도비","OK",IF($AJ28="세입없음","OK",IF($AJ28="세입번호입력","@@",IF(VLOOKUP($AJ28,'4. 특입'!$AF$6:$AG$1000,2,FALSE)='4. 특출'!$AM28,"OK","@@")))))</x:f>
        <x:v/>
      </x:c>
      <x:c r="AO28" s="69"/>
      <x:c r="AP28" s="383"/>
      <x:c r="AQ28" s="28"/>
    </x:row>
    <x:row r="29" spans="1:42" ht="80.099999999999994" customHeight="1">
      <x:c r="A29" s="155" t="str">
        <x:f>IF(D29="","",COUNTA($C$6:C29)-COUNTBLANK($C$6:C29)+5)</x:f>
        <x:v/>
      </x:c>
      <x:c r="B29" s="156" t="str">
        <x: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x:f>
        <x:v/>
      </x:c>
      <x:c r="C29" s="156" t="str">
        <x:f>IF(D29="","",IF(OR(D29="교육지원과"),"소방재난본부",VLOOKUP(D29,구분표!$A$3:$C$258,3,)))</x:f>
        <x:v/>
      </x:c>
      <x:c r="D29" s="226"/>
      <x:c r="E29" s="213"/>
      <x:c r="F29" s="388" t="str">
        <x:f t="shared" si="61"/>
        <x:v/>
      </x:c>
      <x:c r="G29" s="388" t="str">
        <x:f t="shared" si="61"/>
        <x:v/>
      </x:c>
      <x:c r="H29" s="213"/>
      <x:c r="I29" s="156" t="str">
        <x:f>IF(H29="","",VLOOKUP($H29,구분표!$K$3:$M$151,2,FALSE))</x:f>
        <x:v/>
      </x:c>
      <x:c r="J29" s="156" t="str">
        <x:f>IF(I29="","",VLOOKUP($H29,구분표!$K$3:$M$151,3,FALSE))</x:f>
        <x:v/>
      </x:c>
      <x:c r="K29" s="233"/>
      <x:c r="L29" s="233"/>
      <x:c r="M29" s="459" t="str">
        <x:f t="shared" si="62"/>
        <x:v/>
      </x:c>
      <x:c r="N29" s="459" t="str">
        <x:f t="shared" si="63"/>
        <x:v/>
      </x:c>
      <x:c r="O29" s="461" t="str">
        <x:f t="shared" si="54"/>
        <x:v/>
      </x:c>
      <x:c r="P29" s="460"/>
      <x:c r="Q29" s="461">
        <x:f t="shared" si="55"/>
        <x:v>0</x:v>
      </x:c>
      <x:c r="R29" s="462"/>
      <x:c r="S29" s="463">
        <x:f t="shared" si="56"/>
        <x:v>0</x:v>
      </x:c>
      <x:c r="T29" s="162" t="str">
        <x:f t="shared" si="57"/>
        <x:v>X</x:v>
      </x:c>
      <x:c r="U29" s="233"/>
      <x:c r="V29" s="224"/>
      <x:c r="W29" s="217"/>
      <x:c r="X29" s="234"/>
      <x:c r="Y29" s="217"/>
      <x:c r="Z29" s="356" t="str">
        <x:f t="shared" si="58"/>
        <x:v/>
      </x:c>
      <x:c r="AA29" s="164"/>
      <x:c r="AB29" s="486" t="str">
        <x:f t="shared" si="2"/>
        <x:v/>
      </x:c>
      <x:c r="AC29" s="487">
        <x:f t="shared" si="59"/>
        <x:v>0</x:v>
      </x:c>
      <x:c r="AD29" s="356" t="str">
        <x:f t="shared" si="3"/>
        <x:v>OK</x:v>
      </x:c>
      <x:c r="AF29" s="502" t="str">
        <x:f t="shared" si="4"/>
        <x:v/>
      </x:c>
      <x:c r="AG29" s="503">
        <x:f t="shared" si="60"/>
        <x:v>0</x:v>
      </x:c>
      <x:c r="AH29" s="381" t="str">
        <x:f t="shared" si="5"/>
        <x:v>OK</x:v>
      </x:c>
      <x:c r="AI29" s="48"/>
      <x:c r="AJ29" s="221" t="str">
        <x:f t="shared" si="6"/>
        <x:v/>
      </x:c>
      <x:c r="AK29" s="356" t="str">
        <x:f t="shared" si="7"/>
        <x:v/>
      </x:c>
      <x:c r="AL29" s="356" t="str">
        <x:f t="shared" si="8"/>
        <x:v/>
      </x:c>
      <x:c r="AM29" s="356" t="str">
        <x:f t="shared" si="9"/>
        <x:v/>
      </x:c>
      <x:c r="AN29" s="356" t="str">
        <x:f>IF($AM29="","",IF($AM29="도비","OK",IF($AJ29="세입없음","OK",IF($AJ29="세입번호입력","@@",IF(VLOOKUP($AJ29,'4. 특입'!$AF$6:$AG$1000,2,FALSE)='4. 특출'!$AM29,"OK","@@")))))</x:f>
        <x:v/>
      </x:c>
      <x:c r="AO29" s="69"/>
      <x:c r="AP29" s="383"/>
    </x:row>
    <x:row r="30" spans="1:42" ht="80.099999999999994" customHeight="1">
      <x:c r="A30" s="155" t="str">
        <x:f>IF(D30="","",COUNTA($C$6:C30)-COUNTBLANK($C$6:C30)+5)</x:f>
        <x:v/>
      </x:c>
      <x:c r="B30" s="156" t="str">
        <x: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x:f>
        <x:v/>
      </x:c>
      <x:c r="C30" s="156" t="str">
        <x:f>IF(D30="","",IF(OR(D30="교육지원과"),"소방재난본부",VLOOKUP(D30,구분표!$A$3:$C$258,3,)))</x:f>
        <x:v/>
      </x:c>
      <x:c r="D30" s="226"/>
      <x:c r="E30" s="213"/>
      <x:c r="F30" s="388" t="str">
        <x:f t="shared" si="61"/>
        <x:v/>
      </x:c>
      <x:c r="G30" s="388" t="str">
        <x:f t="shared" si="61"/>
        <x:v/>
      </x:c>
      <x:c r="H30" s="213"/>
      <x:c r="I30" s="156" t="str">
        <x:f>IF(H30="","",VLOOKUP($H30,구분표!$K$3:$M$151,2,FALSE))</x:f>
        <x:v/>
      </x:c>
      <x:c r="J30" s="156" t="str">
        <x:f>IF(I30="","",VLOOKUP($H30,구분표!$K$3:$M$151,3,FALSE))</x:f>
        <x:v/>
      </x:c>
      <x:c r="K30" s="233"/>
      <x:c r="L30" s="233"/>
      <x:c r="M30" s="459" t="str">
        <x:f t="shared" si="62"/>
        <x:v/>
      </x:c>
      <x:c r="N30" s="459" t="str">
        <x:f t="shared" si="63"/>
        <x:v/>
      </x:c>
      <x:c r="O30" s="461" t="str">
        <x:f t="shared" si="54"/>
        <x:v/>
      </x:c>
      <x:c r="P30" s="460"/>
      <x:c r="Q30" s="461">
        <x:f t="shared" si="55"/>
        <x:v>0</x:v>
      </x:c>
      <x:c r="R30" s="462"/>
      <x:c r="S30" s="463">
        <x:f t="shared" si="56"/>
        <x:v>0</x:v>
      </x:c>
      <x:c r="T30" s="162" t="str">
        <x:f t="shared" si="57"/>
        <x:v>X</x:v>
      </x:c>
      <x:c r="U30" s="233"/>
      <x:c r="V30" s="224"/>
      <x:c r="W30" s="217"/>
      <x:c r="X30" s="234"/>
      <x:c r="Y30" s="217"/>
      <x:c r="Z30" s="356" t="str">
        <x:f t="shared" si="58"/>
        <x:v/>
      </x:c>
      <x:c r="AA30" s="164"/>
      <x:c r="AB30" s="486" t="str">
        <x:f t="shared" si="2"/>
        <x:v/>
      </x:c>
      <x:c r="AC30" s="487">
        <x:f t="shared" si="59"/>
        <x:v>0</x:v>
      </x:c>
      <x:c r="AD30" s="356" t="str">
        <x:f t="shared" si="3"/>
        <x:v>OK</x:v>
      </x:c>
      <x:c r="AF30" s="502" t="str">
        <x:f t="shared" si="4"/>
        <x:v/>
      </x:c>
      <x:c r="AG30" s="503">
        <x:f t="shared" si="60"/>
        <x:v>0</x:v>
      </x:c>
      <x:c r="AH30" s="381" t="str">
        <x:f t="shared" si="5"/>
        <x:v>OK</x:v>
      </x:c>
      <x:c r="AI30" s="48"/>
      <x:c r="AJ30" s="221" t="str">
        <x:f t="shared" si="6"/>
        <x:v/>
      </x:c>
      <x:c r="AK30" s="356" t="str">
        <x:f t="shared" si="7"/>
        <x:v/>
      </x:c>
      <x:c r="AL30" s="356" t="str">
        <x:f t="shared" si="8"/>
        <x:v/>
      </x:c>
      <x:c r="AM30" s="356" t="str">
        <x:f t="shared" si="9"/>
        <x:v/>
      </x:c>
      <x:c r="AN30" s="356" t="str">
        <x:f>IF($AM30="","",IF($AM30="도비","OK",IF($AJ30="세입없음","OK",IF($AJ30="세입번호입력","@@",IF(VLOOKUP($AJ30,'4. 특입'!$AF$6:$AG$1000,2,FALSE)='4. 특출'!$AM30,"OK","@@")))))</x:f>
        <x:v/>
      </x:c>
      <x:c r="AO30" s="69"/>
      <x:c r="AP30" s="383"/>
    </x:row>
    <x:row r="31" spans="1:42" ht="60" customHeight="1">
      <x:c r="A31" s="174"/>
      <x:c r="B31" s="888" t="s">
        <x:v>1496</x:v>
      </x:c>
      <x:c r="C31" s="888"/>
      <x:c r="D31" s="888"/>
      <x:c r="E31" s="888"/>
      <x:c r="F31" s="888"/>
      <x:c r="G31" s="888"/>
      <x:c r="H31" s="175"/>
      <x:c r="I31" s="175"/>
      <x:c r="J31" s="175"/>
      <x:c r="K31" s="175"/>
      <x:c r="L31" s="353" t="str">
        <x:f>SUBTOTAL(3,L32:L35)&amp;"건"</x:f>
        <x:v>0건</x:v>
      </x:c>
      <x:c r="M31" s="477">
        <x:f t="shared" ref="M31:S31" si="64">SUBTOTAL(9,M32:M35)</x:f>
        <x:v>0</x:v>
      </x:c>
      <x:c r="N31" s="477">
        <x:f t="shared" si="64"/>
        <x:v>0</x:v>
      </x:c>
      <x:c r="O31" s="477">
        <x:f t="shared" si="64"/>
        <x:v>0</x:v>
      </x:c>
      <x:c r="P31" s="477">
        <x:f t="shared" si="64"/>
        <x:v>0</x:v>
      </x:c>
      <x:c r="Q31" s="477">
        <x:f t="shared" si="64"/>
        <x:v>0</x:v>
      </x:c>
      <x:c r="R31" s="477">
        <x:f t="shared" si="64"/>
        <x:v>0</x:v>
      </x:c>
      <x:c r="S31" s="477">
        <x:f t="shared" si="64"/>
        <x:v>0</x:v>
      </x:c>
      <x:c r="T31" s="174"/>
      <x:c r="U31" s="176"/>
      <x:c r="V31" s="176"/>
      <x:c r="W31" s="177"/>
      <x:c r="X31" s="178"/>
      <x:c r="Y31" s="178"/>
      <x:c r="Z31" s="82"/>
      <x:c r="AA31" s="44"/>
      <x:c r="AB31" s="464">
        <x:f>SUBTOTAL(9,AB32:AB35)</x:f>
        <x:v>0</x:v>
      </x:c>
      <x:c r="AC31" s="464">
        <x:f>SUBTOTAL(9,AC32:AC35)</x:f>
        <x:v>0</x:v>
      </x:c>
      <x:c r="AD31" s="556" t="str">
        <x:f>IF(COUNTIF(AD32:AD35,"@@")&gt;0,"@@","OK")</x:f>
        <x:v>OK</x:v>
      </x:c>
      <x:c r="AF31" s="464">
        <x:f>SUBTOTAL(9,AF32:AF35)</x:f>
        <x:v>0</x:v>
      </x:c>
      <x:c r="AG31" s="464">
        <x:f>SUBTOTAL(9,AG32:AG35)</x:f>
        <x:v>0</x:v>
      </x:c>
      <x:c r="AH31" s="556" t="str">
        <x:f>IF(COUNTIF(AH32:AH35,"@@")&gt;0,"@@","OK")</x:f>
        <x:v>OK</x:v>
      </x:c>
      <x:c r="AI31" s="37"/>
      <x:c r="AJ31" s="82"/>
      <x:c r="AK31" s="82"/>
      <x:c r="AL31" s="556" t="str">
        <x:f>IF(COUNTIF(AL32:AL35,"@@")&gt;0,"@@","OK")</x:f>
        <x:v>OK</x:v>
      </x:c>
      <x:c r="AM31" s="82"/>
      <x:c r="AN31" s="556" t="str">
        <x:f>IF(COUNTIF(AN32:AN35,"@@")&gt;0,"@@","OK")</x:f>
        <x:v>OK</x:v>
      </x:c>
      <x:c r="AO31" s="37"/>
      <x:c r="AP31" s="82"/>
    </x:row>
    <x:row r="32" spans="1:43" ht="80.099999999999994" customHeight="1">
      <x:c r="A32" s="155" t="str">
        <x:f>IF(D32="","",COUNTA($C$6:C32)-COUNTBLANK($C$6:C32)+6)</x:f>
        <x:v/>
      </x:c>
      <x:c r="B32" s="156" t="str">
        <x: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x:f>
        <x:v/>
      </x:c>
      <x:c r="C32" s="156" t="str">
        <x:f>IF(D32="","",IF(OR(D32="교육지원과"),"소방재난본부",VLOOKUP(D32,구분표!$A$3:$C$258,3,)))</x:f>
        <x:v/>
      </x:c>
      <x:c r="D32" s="226"/>
      <x:c r="E32" s="213"/>
      <x:c r="F32" s="388" t="str">
        <x:f>IF($E32="","",IF($E32="2추","직접입력","-"))</x:f>
        <x:v/>
      </x:c>
      <x:c r="G32" s="388" t="str">
        <x:f>IF($E32="","",IF($E32="2추","직접입력","-"))</x:f>
        <x:v/>
      </x:c>
      <x:c r="H32" s="213"/>
      <x:c r="I32" s="156" t="str">
        <x:f>IF(H32="","",VLOOKUP($H32,구분표!$K$3:$M$151,2,FALSE))</x:f>
        <x:v/>
      </x:c>
      <x:c r="J32" s="156" t="str">
        <x:f>IF(I32="","",VLOOKUP($H32,구분표!$K$3:$M$151,3,FALSE))</x:f>
        <x:v/>
      </x:c>
      <x:c r="K32" s="233"/>
      <x:c r="L32" s="233"/>
      <x:c r="M32" s="459" t="str">
        <x:f>IF($E32="","",IF(OR($E32="2추",$E32="1추",$E32="본예산"),"금액입력","-"))</x:f>
        <x:v/>
      </x:c>
      <x:c r="N32" s="459" t="str">
        <x:f>IF($E32="","",IF($E32="2추","금액입력","-"))</x:f>
        <x:v/>
      </x:c>
      <x:c r="O32" s="461" t="str">
        <x:f t="shared" ref="O32:O35" si="65">IF($E32="","",SUM(M32:N32))</x:f>
        <x:v/>
      </x:c>
      <x:c r="P32" s="460"/>
      <x:c r="Q32" s="461">
        <x:f t="shared" ref="Q32:Q35" si="66">SUM(O32:P32)</x:f>
        <x:v>0</x:v>
      </x:c>
      <x:c r="R32" s="462"/>
      <x:c r="S32" s="463">
        <x:f t="shared" ref="S32:S35" si="67">SUM(O32,R32)</x:f>
        <x:v>0</x:v>
      </x:c>
      <x:c r="T32" s="162" t="str">
        <x:f t="shared" ref="T32:T35" si="68">IF(AND((Q32=0),(S32&gt;0)),"O",IF(AND((P32&lt;0),(Q32-S32&lt;0)),"O","X"))</x:f>
        <x:v>X</x:v>
      </x:c>
      <x:c r="U32" s="233"/>
      <x:c r="V32" s="224"/>
      <x:c r="W32" s="217"/>
      <x:c r="X32" s="234"/>
      <x:c r="Y32" s="217"/>
      <x:c r="Z32" s="356" t="str">
        <x:f t="shared" ref="Z32:Z35" si="69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x:f>
        <x:v/>
      </x:c>
      <x:c r="AA32" s="164"/>
      <x:c r="AB32" s="486" t="str">
        <x:f t="shared" si="2"/>
        <x:v/>
      </x:c>
      <x:c r="AC32" s="487">
        <x:f t="shared" ref="AC32:AC35" si="70">IFERROR(P32-AB32,0)</x:f>
        <x:v>0</x:v>
      </x:c>
      <x:c r="AD32" s="356" t="str">
        <x:f t="shared" si="3"/>
        <x:v>OK</x:v>
      </x:c>
      <x:c r="AF32" s="502" t="str">
        <x:f t="shared" si="4"/>
        <x:v/>
      </x:c>
      <x:c r="AG32" s="503">
        <x:f t="shared" ref="AG32:AG35" si="71">IFERROR(R32-AF32,0)</x:f>
        <x:v>0</x:v>
      </x:c>
      <x:c r="AH32" s="381" t="str">
        <x:f t="shared" si="5"/>
        <x:v>OK</x:v>
      </x:c>
      <x:c r="AI32" s="48"/>
      <x:c r="AJ32" s="221" t="str">
        <x:f t="shared" si="6"/>
        <x:v/>
      </x:c>
      <x:c r="AK32" s="356" t="str">
        <x:f t="shared" si="7"/>
        <x:v/>
      </x:c>
      <x:c r="AL32" s="356" t="str">
        <x:f t="shared" si="8"/>
        <x:v/>
      </x:c>
      <x:c r="AM32" s="356" t="str">
        <x:f t="shared" si="9"/>
        <x:v/>
      </x:c>
      <x:c r="AN32" s="356" t="str">
        <x:f>IF($AM32="","",IF($AM32="도비","OK",IF($AJ32="세입없음","OK",IF($AJ32="세입번호입력","@@",IF(VLOOKUP($AJ32,'4. 특입'!$AF$6:$AG$1000,2,FALSE)='4. 특출'!$AM32,"OK","@@")))))</x:f>
        <x:v/>
      </x:c>
      <x:c r="AO32" s="69"/>
      <x:c r="AP32" s="383"/>
      <x:c r="AQ32" s="28"/>
    </x:row>
    <x:row r="33" spans="1:43" ht="80.099999999999994" customHeight="1">
      <x:c r="A33" s="155" t="str">
        <x:f>IF(D33="","",COUNTA($C$6:C33)-COUNTBLANK($C$6:C33)+6)</x:f>
        <x:v/>
      </x:c>
      <x:c r="B33" s="156" t="str">
        <x: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x:f>
        <x:v/>
      </x:c>
      <x:c r="C33" s="156" t="str">
        <x:f>IF(D33="","",IF(OR(D33="교육지원과"),"소방재난본부",VLOOKUP(D33,구분표!$A$3:$C$258,3,)))</x:f>
        <x:v/>
      </x:c>
      <x:c r="D33" s="226"/>
      <x:c r="E33" s="213"/>
      <x:c r="F33" s="388" t="str">
        <x:f t="shared" ref="F33:G35" si="72">IF($E33="","",IF($E33="2추","직접입력","-"))</x:f>
        <x:v/>
      </x:c>
      <x:c r="G33" s="388" t="str">
        <x:f t="shared" si="72"/>
        <x:v/>
      </x:c>
      <x:c r="H33" s="213"/>
      <x:c r="I33" s="156" t="str">
        <x:f>IF(H33="","",VLOOKUP($H33,구분표!$K$3:$M$151,2,FALSE))</x:f>
        <x:v/>
      </x:c>
      <x:c r="J33" s="156" t="str">
        <x:f>IF(I33="","",VLOOKUP($H33,구분표!$K$3:$M$151,3,FALSE))</x:f>
        <x:v/>
      </x:c>
      <x:c r="K33" s="233"/>
      <x:c r="L33" s="233"/>
      <x:c r="M33" s="459" t="str">
        <x:f t="shared" ref="M33:M35" si="73">IF($E33="","",IF(OR($E33="2추",$E33="1추",$E33="본예산"),"금액입력","-"))</x:f>
        <x:v/>
      </x:c>
      <x:c r="N33" s="459" t="str">
        <x:f t="shared" ref="N33:N35" si="74">IF($E33="","",IF($E33="2추","금액입력","-"))</x:f>
        <x:v/>
      </x:c>
      <x:c r="O33" s="461" t="str">
        <x:f t="shared" si="65"/>
        <x:v/>
      </x:c>
      <x:c r="P33" s="460"/>
      <x:c r="Q33" s="461">
        <x:f t="shared" si="66"/>
        <x:v>0</x:v>
      </x:c>
      <x:c r="R33" s="462"/>
      <x:c r="S33" s="463">
        <x:f t="shared" si="67"/>
        <x:v>0</x:v>
      </x:c>
      <x:c r="T33" s="162" t="str">
        <x:f t="shared" si="68"/>
        <x:v>X</x:v>
      </x:c>
      <x:c r="U33" s="233"/>
      <x:c r="V33" s="224"/>
      <x:c r="W33" s="217"/>
      <x:c r="X33" s="234"/>
      <x:c r="Y33" s="217"/>
      <x:c r="Z33" s="356" t="str">
        <x:f t="shared" si="69"/>
        <x:v/>
      </x:c>
      <x:c r="AA33" s="164"/>
      <x:c r="AB33" s="486" t="str">
        <x:f t="shared" si="2"/>
        <x:v/>
      </x:c>
      <x:c r="AC33" s="487">
        <x:f t="shared" si="70"/>
        <x:v>0</x:v>
      </x:c>
      <x:c r="AD33" s="356" t="str">
        <x:f t="shared" si="3"/>
        <x:v>OK</x:v>
      </x:c>
      <x:c r="AF33" s="502" t="str">
        <x:f t="shared" si="4"/>
        <x:v/>
      </x:c>
      <x:c r="AG33" s="503">
        <x:f t="shared" si="71"/>
        <x:v>0</x:v>
      </x:c>
      <x:c r="AH33" s="381" t="str">
        <x:f t="shared" si="5"/>
        <x:v>OK</x:v>
      </x:c>
      <x:c r="AI33" s="48"/>
      <x:c r="AJ33" s="221" t="str">
        <x:f t="shared" si="6"/>
        <x:v/>
      </x:c>
      <x:c r="AK33" s="356" t="str">
        <x:f t="shared" si="7"/>
        <x:v/>
      </x:c>
      <x:c r="AL33" s="356" t="str">
        <x:f t="shared" si="8"/>
        <x:v/>
      </x:c>
      <x:c r="AM33" s="356" t="str">
        <x:f t="shared" si="9"/>
        <x:v/>
      </x:c>
      <x:c r="AN33" s="356" t="str">
        <x:f>IF($AM33="","",IF($AM33="도비","OK",IF($AJ33="세입없음","OK",IF($AJ33="세입번호입력","@@",IF(VLOOKUP($AJ33,'4. 특입'!$AF$6:$AG$1000,2,FALSE)='4. 특출'!$AM33,"OK","@@")))))</x:f>
        <x:v/>
      </x:c>
      <x:c r="AO33" s="69"/>
      <x:c r="AP33" s="383"/>
      <x:c r="AQ33" s="28"/>
    </x:row>
    <x:row r="34" spans="1:42" ht="80.099999999999994" customHeight="1">
      <x:c r="A34" s="155" t="str">
        <x:f>IF(D34="","",COUNTA($C$6:C34)-COUNTBLANK($C$6:C34)+6)</x:f>
        <x:v/>
      </x:c>
      <x:c r="B34" s="156" t="str">
        <x: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x:f>
        <x:v/>
      </x:c>
      <x:c r="C34" s="156" t="str">
        <x:f>IF(D34="","",IF(OR(D34="교육지원과"),"소방재난본부",VLOOKUP(D34,구분표!$A$3:$C$258,3,)))</x:f>
        <x:v/>
      </x:c>
      <x:c r="D34" s="226"/>
      <x:c r="E34" s="213"/>
      <x:c r="F34" s="388" t="str">
        <x:f t="shared" si="72"/>
        <x:v/>
      </x:c>
      <x:c r="G34" s="388" t="str">
        <x:f t="shared" si="72"/>
        <x:v/>
      </x:c>
      <x:c r="H34" s="213"/>
      <x:c r="I34" s="156" t="str">
        <x:f>IF(H34="","",VLOOKUP($H34,구분표!$K$3:$M$151,2,FALSE))</x:f>
        <x:v/>
      </x:c>
      <x:c r="J34" s="156" t="str">
        <x:f>IF(I34="","",VLOOKUP($H34,구분표!$K$3:$M$151,3,FALSE))</x:f>
        <x:v/>
      </x:c>
      <x:c r="K34" s="233"/>
      <x:c r="L34" s="233"/>
      <x:c r="M34" s="459" t="str">
        <x:f t="shared" si="73"/>
        <x:v/>
      </x:c>
      <x:c r="N34" s="459" t="str">
        <x:f t="shared" si="74"/>
        <x:v/>
      </x:c>
      <x:c r="O34" s="461" t="str">
        <x:f t="shared" si="65"/>
        <x:v/>
      </x:c>
      <x:c r="P34" s="460"/>
      <x:c r="Q34" s="461">
        <x:f t="shared" si="66"/>
        <x:v>0</x:v>
      </x:c>
      <x:c r="R34" s="462"/>
      <x:c r="S34" s="463">
        <x:f t="shared" si="67"/>
        <x:v>0</x:v>
      </x:c>
      <x:c r="T34" s="162" t="str">
        <x:f t="shared" si="68"/>
        <x:v>X</x:v>
      </x:c>
      <x:c r="U34" s="233"/>
      <x:c r="V34" s="224"/>
      <x:c r="W34" s="217"/>
      <x:c r="X34" s="234"/>
      <x:c r="Y34" s="217"/>
      <x:c r="Z34" s="356" t="str">
        <x:f t="shared" si="69"/>
        <x:v/>
      </x:c>
      <x:c r="AA34" s="164"/>
      <x:c r="AB34" s="486" t="str">
        <x:f t="shared" si="2"/>
        <x:v/>
      </x:c>
      <x:c r="AC34" s="487">
        <x:f t="shared" si="70"/>
        <x:v>0</x:v>
      </x:c>
      <x:c r="AD34" s="356" t="str">
        <x:f t="shared" si="3"/>
        <x:v>OK</x:v>
      </x:c>
      <x:c r="AF34" s="502" t="str">
        <x:f t="shared" si="4"/>
        <x:v/>
      </x:c>
      <x:c r="AG34" s="503">
        <x:f t="shared" si="71"/>
        <x:v>0</x:v>
      </x:c>
      <x:c r="AH34" s="381" t="str">
        <x:f t="shared" si="5"/>
        <x:v>OK</x:v>
      </x:c>
      <x:c r="AI34" s="48"/>
      <x:c r="AJ34" s="221" t="str">
        <x:f t="shared" si="6"/>
        <x:v/>
      </x:c>
      <x:c r="AK34" s="356" t="str">
        <x:f t="shared" si="7"/>
        <x:v/>
      </x:c>
      <x:c r="AL34" s="356" t="str">
        <x:f t="shared" si="8"/>
        <x:v/>
      </x:c>
      <x:c r="AM34" s="356" t="str">
        <x:f t="shared" si="9"/>
        <x:v/>
      </x:c>
      <x:c r="AN34" s="356" t="str">
        <x:f>IF($AM34="","",IF($AM34="도비","OK",IF($AJ34="세입없음","OK",IF($AJ34="세입번호입력","@@",IF(VLOOKUP($AJ34,'4. 특입'!$AF$6:$AG$1000,2,FALSE)='4. 특출'!$AM34,"OK","@@")))))</x:f>
        <x:v/>
      </x:c>
      <x:c r="AO34" s="69"/>
      <x:c r="AP34" s="383"/>
    </x:row>
    <x:row r="35" spans="1:42" ht="80.099999999999994" customHeight="1">
      <x:c r="A35" s="155" t="str">
        <x:f>IF(D35="","",COUNTA($C$6:C35)-COUNTBLANK($C$6:C35)+6)</x:f>
        <x:v/>
      </x:c>
      <x:c r="B35" s="156" t="str">
        <x: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x:f>
        <x:v/>
      </x:c>
      <x:c r="C35" s="156" t="str">
        <x:f>IF(D35="","",IF(OR(D35="교육지원과"),"소방재난본부",VLOOKUP(D35,구분표!$A$3:$C$258,3,)))</x:f>
        <x:v/>
      </x:c>
      <x:c r="D35" s="226"/>
      <x:c r="E35" s="213"/>
      <x:c r="F35" s="388" t="str">
        <x:f t="shared" si="72"/>
        <x:v/>
      </x:c>
      <x:c r="G35" s="388" t="str">
        <x:f t="shared" si="72"/>
        <x:v/>
      </x:c>
      <x:c r="H35" s="213"/>
      <x:c r="I35" s="156" t="str">
        <x:f>IF(H35="","",VLOOKUP($H35,구분표!$K$3:$M$151,2,FALSE))</x:f>
        <x:v/>
      </x:c>
      <x:c r="J35" s="156" t="str">
        <x:f>IF(I35="","",VLOOKUP($H35,구분표!$K$3:$M$151,3,FALSE))</x:f>
        <x:v/>
      </x:c>
      <x:c r="K35" s="233"/>
      <x:c r="L35" s="233"/>
      <x:c r="M35" s="459" t="str">
        <x:f t="shared" si="73"/>
        <x:v/>
      </x:c>
      <x:c r="N35" s="459" t="str">
        <x:f t="shared" si="74"/>
        <x:v/>
      </x:c>
      <x:c r="O35" s="461" t="str">
        <x:f t="shared" si="65"/>
        <x:v/>
      </x:c>
      <x:c r="P35" s="460"/>
      <x:c r="Q35" s="461">
        <x:f t="shared" si="66"/>
        <x:v>0</x:v>
      </x:c>
      <x:c r="R35" s="462"/>
      <x:c r="S35" s="463">
        <x:f t="shared" si="67"/>
        <x:v>0</x:v>
      </x:c>
      <x:c r="T35" s="162" t="str">
        <x:f t="shared" si="68"/>
        <x:v>X</x:v>
      </x:c>
      <x:c r="U35" s="233"/>
      <x:c r="V35" s="224"/>
      <x:c r="W35" s="217"/>
      <x:c r="X35" s="234"/>
      <x:c r="Y35" s="217"/>
      <x:c r="Z35" s="356" t="str">
        <x:f t="shared" si="69"/>
        <x:v/>
      </x:c>
      <x:c r="AA35" s="164"/>
      <x:c r="AB35" s="486" t="str">
        <x:f t="shared" si="2"/>
        <x:v/>
      </x:c>
      <x:c r="AC35" s="487">
        <x:f t="shared" si="70"/>
        <x:v>0</x:v>
      </x:c>
      <x:c r="AD35" s="356" t="str">
        <x:f t="shared" si="3"/>
        <x:v>OK</x:v>
      </x:c>
      <x:c r="AF35" s="502" t="str">
        <x:f t="shared" si="4"/>
        <x:v/>
      </x:c>
      <x:c r="AG35" s="503">
        <x:f t="shared" si="71"/>
        <x:v>0</x:v>
      </x:c>
      <x:c r="AH35" s="381" t="str">
        <x:f t="shared" si="5"/>
        <x:v>OK</x:v>
      </x:c>
      <x:c r="AI35" s="48"/>
      <x:c r="AJ35" s="221" t="str">
        <x:f t="shared" si="6"/>
        <x:v/>
      </x:c>
      <x:c r="AK35" s="356" t="str">
        <x:f t="shared" si="7"/>
        <x:v/>
      </x:c>
      <x:c r="AL35" s="356" t="str">
        <x:f t="shared" si="8"/>
        <x:v/>
      </x:c>
      <x:c r="AM35" s="356" t="str">
        <x:f t="shared" si="9"/>
        <x:v/>
      </x:c>
      <x:c r="AN35" s="356" t="str">
        <x:f>IF($AM35="","",IF($AM35="도비","OK",IF($AJ35="세입없음","OK",IF($AJ35="세입번호입력","@@",IF(VLOOKUP($AJ35,'4. 특입'!$AF$6:$AG$1000,2,FALSE)='4. 특출'!$AM35,"OK","@@")))))</x:f>
        <x:v/>
      </x:c>
      <x:c r="AO35" s="69"/>
      <x:c r="AP35" s="383"/>
    </x:row>
    <x:row r="36" spans="1:42" ht="60" customHeight="1">
      <x:c r="A36" s="174"/>
      <x:c r="B36" s="888" t="s">
        <x:v>1021</x:v>
      </x:c>
      <x:c r="C36" s="888"/>
      <x:c r="D36" s="888"/>
      <x:c r="E36" s="888"/>
      <x:c r="F36" s="888"/>
      <x:c r="G36" s="888"/>
      <x:c r="H36" s="175"/>
      <x:c r="I36" s="175"/>
      <x:c r="J36" s="175"/>
      <x:c r="K36" s="175"/>
      <x:c r="L36" s="353" t="str">
        <x:f>SUBTOTAL(3,L37:L40)&amp;"건"</x:f>
        <x:v>4건</x:v>
      </x:c>
      <x:c r="M36" s="477">
        <x:f t="shared" ref="M36:S36" si="75">SUBTOTAL(9,M37:M40)</x:f>
        <x:v>15260900</x:v>
      </x:c>
      <x:c r="N36" s="477">
        <x:f t="shared" si="75"/>
        <x:v>18815600</x:v>
      </x:c>
      <x:c r="O36" s="477">
        <x:f t="shared" si="75"/>
        <x:v>34076500</x:v>
      </x:c>
      <x:c r="P36" s="477">
        <x:f t="shared" si="75"/>
        <x:v>-1669500</x:v>
      </x:c>
      <x:c r="Q36" s="477">
        <x:f t="shared" si="75"/>
        <x:v>32407000</x:v>
      </x:c>
      <x:c r="R36" s="477">
        <x:f t="shared" si="75"/>
        <x:v>0</x:v>
      </x:c>
      <x:c r="S36" s="477">
        <x:f t="shared" si="75"/>
        <x:v>34076500</x:v>
      </x:c>
      <x:c r="T36" s="174"/>
      <x:c r="U36" s="176"/>
      <x:c r="V36" s="176"/>
      <x:c r="W36" s="177"/>
      <x:c r="X36" s="178"/>
      <x:c r="Y36" s="178"/>
      <x:c r="Z36" s="82"/>
      <x:c r="AA36" s="44"/>
      <x:c r="AB36" s="464">
        <x:f>SUBTOTAL(9,AB37:AB40)</x:f>
        <x:v>1134501</x:v>
      </x:c>
      <x:c r="AC36" s="464">
        <x:f>SUBTOTAL(9,AC37:AC40)</x:f>
        <x:v>-2804001</x:v>
      </x:c>
      <x:c r="AD36" s="556" t="str">
        <x:f>IF(COUNTIF(AD37:AD40,"@@")&gt;0,"@@","OK")</x:f>
        <x:v>OK</x:v>
      </x:c>
      <x:c r="AF36" s="464">
        <x:f>SUBTOTAL(9,AF37:AF40)</x:f>
        <x:v>0</x:v>
      </x:c>
      <x:c r="AG36" s="464">
        <x:f>SUBTOTAL(9,AG37:AG40)</x:f>
        <x:v>0</x:v>
      </x:c>
      <x:c r="AH36" s="556" t="str">
        <x:f>IF(COUNTIF(AH37:AH40,"@@")&gt;0,"@@","OK")</x:f>
        <x:v>OK</x:v>
      </x:c>
      <x:c r="AI36" s="37"/>
      <x:c r="AJ36" s="82"/>
      <x:c r="AK36" s="82"/>
      <x:c r="AL36" s="556" t="str">
        <x:f>IF(COUNTIF(AL37:AL40,"@@")&gt;0,"@@","OK")</x:f>
        <x:v>OK</x:v>
      </x:c>
      <x:c r="AM36" s="82"/>
      <x:c r="AN36" s="556" t="str">
        <x:f>IF(COUNTIF(AN37:AN40,"@@")&gt;0,"@@","OK")</x:f>
        <x:v>OK</x:v>
      </x:c>
      <x:c r="AO36" s="37"/>
      <x:c r="AP36" s="82"/>
    </x:row>
    <x:row r="37" spans="1:43" ht="80.099999999999994" customHeight="1">
      <x:c r="A37" s="155">
        <x:f>IF(D37="","",COUNTA($C$6:C37)-COUNTBLANK($C$6:C37)+7)</x:f>
        <x:v>2</x:v>
      </x:c>
      <x:c r="B37" s="156" t="str">
        <x: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x:f>
        <x:v>도시환경위원회</x:v>
      </x:c>
      <x:c r="C37" s="156" t="str">
        <x:f>IF(D37="","",IF(OR(D37="교육지원과"),"소방재난본부",VLOOKUP(D37,구분표!$A$3:$C$258,3,)))</x:f>
        <x:v>기후환경에너지국</x:v>
      </x:c>
      <x:c r="D37" s="226" t="s">
        <x:v>2024</x:v>
      </x:c>
      <x:c r="E37" s="213" t="s">
        <x:v>414</x:v>
      </x:c>
      <x:c r="F37" s="388">
        <x:v>1018</x:v>
      </x:c>
      <x:c r="G37" s="388">
        <x:v>263</x:v>
      </x:c>
      <x:c r="H37" s="213" t="s">
        <x:v>656</x:v>
      </x:c>
      <x:c r="I37" s="156" t="str">
        <x:f>IF(H37="","",VLOOKUP($H37,구분표!$K$3:$M$151,2,FALSE))</x:f>
        <x:v>자치단체등 자본이전</x:v>
      </x:c>
      <x:c r="J37" s="156" t="str">
        <x:f>IF(I37="","",VLOOKUP($H37,구분표!$K$3:$M$151,3,FALSE))</x:f>
        <x:v>자치단체자본보조</x:v>
      </x:c>
      <x:c r="K37" s="233" t="s">
        <x:v>1691</x:v>
      </x:c>
      <x:c r="L37" s="233" t="s">
        <x:v>1434</x:v>
      </x:c>
      <x:c r="M37" s="459">
        <x:v>11114500</x:v>
      </x:c>
      <x:c r="N37" s="459">
        <x:v>13074010</x:v>
      </x:c>
      <x:c r="O37" s="461">
        <x:f t="shared" ref="O37:O40" si="76">IF($E37="","",SUM(M37:N37))</x:f>
        <x:v>24188510</x:v>
      </x:c>
      <x:c r="P37" s="460">
        <x:v>3599490</x:v>
      </x:c>
      <x:c r="Q37" s="461">
        <x:f t="shared" ref="Q37:Q40" si="77">SUM(O37:P37)</x:f>
        <x:v>27788000</x:v>
      </x:c>
      <x:c r="R37" s="462"/>
      <x:c r="S37" s="463">
        <x:f t="shared" ref="S37:S40" si="78">SUM(O37,R37)</x:f>
        <x:v>24188510</x:v>
      </x:c>
      <x:c r="T37" s="162" t="str">
        <x:f t="shared" ref="T37:T40" si="79">IF(AND((Q37=0),(S37&gt;0)),"O",IF(AND((P37&lt;0),(Q37-S37&lt;0)),"O","X"))</x:f>
        <x:v>X</x:v>
      </x:c>
      <x:c r="U37" s="233"/>
      <x:c r="V37" s="224" t="s">
        <x:v>1306</x:v>
      </x:c>
      <x:c r="W37" s="217"/>
      <x:c r="X37" s="234"/>
      <x:c r="Y37" s="217"/>
      <x:c r="Z37" s="356" t="str">
        <x:f t="shared" ref="Z37:Z40" si="80">IF($K37="","",IF(COUNT(FIND("국비/",$K37)),"국도비",IF(COUNT(FIND("균특/",$K37)),"국도비",IF(COUNT(FIND("기금/",$K37)),"국도비",IF(COUNT(FIND("교부세/",$K37)),"국도비",IF(COUNT(FIND("소방안전/",$K37)),"국도비",IF(COUNT(FIND("소멸대응/",$K37)),"국도비","도비")))))))</x:f>
        <x:v>국도비</x:v>
      </x:c>
      <x:c r="AA37" s="164"/>
      <x:c r="AB37" s="486">
        <x:v>2116501</x:v>
      </x:c>
      <x:c r="AC37" s="487">
        <x:f t="shared" ref="AC37:AC40" si="81">IFERROR(P37-AB37,0)</x:f>
        <x:v>1482989</x:v>
      </x:c>
      <x:c r="AD37" s="356" t="str">
        <x:f t="shared" si="3"/>
        <x:v>OK</x:v>
      </x:c>
      <x:c r="AF37" s="502" t="str">
        <x:f t="shared" si="4"/>
        <x:v>금액입력</x:v>
      </x:c>
      <x:c r="AG37" s="503">
        <x:f t="shared" ref="AG37:AG40" si="82">IFERROR(R37-AF37,0)</x:f>
        <x:v>0</x:v>
      </x:c>
      <x:c r="AH37" s="381" t="str">
        <x:f t="shared" si="5"/>
        <x:v>OK</x:v>
      </x:c>
      <x:c r="AI37" s="48"/>
      <x:c r="AJ37" s="221" t="s">
        <x:v>1615</x:v>
      </x:c>
      <x:c r="AK37" s="356">
        <x:f t="shared" si="7"/>
        <x:v>3</x:v>
      </x:c>
      <x:c r="AL37" s="356" t="str">
        <x:f t="shared" si="8"/>
        <x:v>OK</x:v>
      </x:c>
      <x:c r="AM37" s="356" t="str">
        <x:f t="shared" si="9"/>
        <x:v>국비</x:v>
      </x:c>
      <x:c r="AN37" s="356" t="e">
        <x:f>IF($AM37="","",IF($AM37="도비","OK",IF($AJ37="세입없음","OK",IF($AJ37="세입번호입력","@@",IF(VLOOKUP($AJ37,'4. 특입'!$AF$6:$AG$1000,2,FALSE)='4. 특출'!$AM37,"OK","@@")))))</x:f>
        <x:v>#N/A</x:v>
      </x:c>
      <x:c r="AO37" s="69"/>
      <x:c r="AP37" s="383"/>
      <x:c r="AQ37" s="28"/>
    </x:row>
    <x:row r="38" spans="1:43" ht="80.099999999999994" customHeight="1">
      <x:c r="A38" s="155">
        <x:f>IF(D38="","",COUNTA($C$6:C38)-COUNTBLANK($C$6:C38)+7)</x:f>
        <x:v>3</x:v>
      </x:c>
      <x:c r="B38" s="156" t="str">
        <x: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x:f>
        <x:v>도시환경위원회</x:v>
      </x:c>
      <x:c r="C38" s="156" t="str">
        <x:f>IF(D38="","",IF(OR(D38="교육지원과"),"소방재난본부",VLOOKUP(D38,구분표!$A$3:$C$258,3,)))</x:f>
        <x:v>기후환경에너지국</x:v>
      </x:c>
      <x:c r="D38" s="226" t="s">
        <x:v>2024</x:v>
      </x:c>
      <x:c r="E38" s="213" t="s">
        <x:v>414</x:v>
      </x:c>
      <x:c r="F38" s="388">
        <x:v>1018</x:v>
      </x:c>
      <x:c r="G38" s="388">
        <x:v>263</x:v>
      </x:c>
      <x:c r="H38" s="213" t="s">
        <x:v>656</x:v>
      </x:c>
      <x:c r="I38" s="156" t="str">
        <x:f>IF(H38="","",VLOOKUP($H38,구분표!$K$3:$M$151,2,FALSE))</x:f>
        <x:v>자치단체등 자본이전</x:v>
      </x:c>
      <x:c r="J38" s="156" t="str">
        <x:f>IF(I38="","",VLOOKUP($H38,구분표!$K$3:$M$151,3,FALSE))</x:f>
        <x:v>자치단체자본보조</x:v>
      </x:c>
      <x:c r="K38" s="233" t="s">
        <x:v>1691</x:v>
      </x:c>
      <x:c r="L38" s="233" t="s">
        <x:v>1924</x:v>
      </x:c>
      <x:c r="M38" s="459">
        <x:v>0</x:v>
      </x:c>
      <x:c r="N38" s="459">
        <x:v>3599490</x:v>
      </x:c>
      <x:c r="O38" s="461">
        <x:f t="shared" si="76"/>
        <x:v>3599490</x:v>
      </x:c>
      <x:c r="P38" s="460">
        <x:v>-3599490</x:v>
      </x:c>
      <x:c r="Q38" s="461">
        <x:f t="shared" si="77"/>
        <x:v>0</x:v>
      </x:c>
      <x:c r="R38" s="462"/>
      <x:c r="S38" s="463">
        <x:f t="shared" si="78"/>
        <x:v>3599490</x:v>
      </x:c>
      <x:c r="T38" s="162" t="str">
        <x:f t="shared" si="79"/>
        <x:v>O</x:v>
      </x:c>
      <x:c r="U38" s="233"/>
      <x:c r="V38" s="224" t="s">
        <x:v>1306</x:v>
      </x:c>
      <x:c r="W38" s="217"/>
      <x:c r="X38" s="234"/>
      <x:c r="Y38" s="217"/>
      <x:c r="Z38" s="356" t="str">
        <x:f t="shared" si="80"/>
        <x:v>국도비</x:v>
      </x:c>
      <x:c r="AA38" s="164"/>
      <x:c r="AB38" s="486">
        <x:v>0</x:v>
      </x:c>
      <x:c r="AC38" s="487">
        <x:f t="shared" si="81"/>
        <x:v>-3599490</x:v>
      </x:c>
      <x:c r="AD38" s="356" t="str">
        <x:f t="shared" si="3"/>
        <x:v>OK</x:v>
      </x:c>
      <x:c r="AF38" s="502" t="str">
        <x:f t="shared" si="4"/>
        <x:v>금액입력</x:v>
      </x:c>
      <x:c r="AG38" s="503">
        <x:f t="shared" si="82"/>
        <x:v>0</x:v>
      </x:c>
      <x:c r="AH38" s="381" t="str">
        <x:f t="shared" si="5"/>
        <x:v>OK</x:v>
      </x:c>
      <x:c r="AI38" s="48"/>
      <x:c r="AJ38" s="221" t="s">
        <x:v>1615</x:v>
      </x:c>
      <x:c r="AK38" s="356">
        <x:f t="shared" si="7"/>
        <x:v>3</x:v>
      </x:c>
      <x:c r="AL38" s="356" t="str">
        <x:f t="shared" si="8"/>
        <x:v>OK</x:v>
      </x:c>
      <x:c r="AM38" s="356" t="str">
        <x:f t="shared" si="9"/>
        <x:v>국비</x:v>
      </x:c>
      <x:c r="AN38" s="356" t="e">
        <x:f>IF($AM38="","",IF($AM38="도비","OK",IF($AJ38="세입없음","OK",IF($AJ38="세입번호입력","@@",IF(VLOOKUP($AJ38,'4. 특입'!$AF$6:$AG$1000,2,FALSE)='4. 특출'!$AM38,"OK","@@")))))</x:f>
        <x:v>#N/A</x:v>
      </x:c>
      <x:c r="AO38" s="69"/>
      <x:c r="AP38" s="383"/>
      <x:c r="AQ38" s="28"/>
    </x:row>
    <x:row r="39" spans="1:42" ht="80.099999999999994" customHeight="1">
      <x:c r="A39" s="155">
        <x:f>IF(D39="","",COUNTA($C$6:C39)-COUNTBLANK($C$6:C39)+7)</x:f>
        <x:v>4</x:v>
      </x:c>
      <x:c r="B39" s="156" t="str">
        <x: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x:f>
        <x:v>도시환경위원회</x:v>
      </x:c>
      <x:c r="C39" s="156" t="str">
        <x:f>IF(D39="","",IF(OR(D39="교육지원과"),"소방재난본부",VLOOKUP(D39,구분표!$A$3:$C$258,3,)))</x:f>
        <x:v>기후환경에너지국</x:v>
      </x:c>
      <x:c r="D39" s="226" t="s">
        <x:v>2024</x:v>
      </x:c>
      <x:c r="E39" s="213" t="s">
        <x:v>414</x:v>
      </x:c>
      <x:c r="F39" s="388">
        <x:v>1018</x:v>
      </x:c>
      <x:c r="G39" s="388">
        <x:v>263</x:v>
      </x:c>
      <x:c r="H39" s="213" t="s">
        <x:v>656</x:v>
      </x:c>
      <x:c r="I39" s="156" t="str">
        <x:f>IF(H39="","",VLOOKUP($H39,구분표!$K$3:$M$151,2,FALSE))</x:f>
        <x:v>자치단체등 자본이전</x:v>
      </x:c>
      <x:c r="J39" s="156" t="str">
        <x:f>IF(I39="","",VLOOKUP($H39,구분표!$K$3:$M$151,3,FALSE))</x:f>
        <x:v>자치단체자본보조</x:v>
      </x:c>
      <x:c r="K39" s="233" t="s">
        <x:v>1691</x:v>
      </x:c>
      <x:c r="L39" s="233" t="s">
        <x:v>1705</x:v>
      </x:c>
      <x:c r="M39" s="459">
        <x:v>1559000</x:v>
      </x:c>
      <x:c r="N39" s="459">
        <x:v>4619000</x:v>
      </x:c>
      <x:c r="O39" s="461">
        <x:f t="shared" si="76"/>
        <x:v>6178000</x:v>
      </x:c>
      <x:c r="P39" s="460">
        <x:v>-1559000</x:v>
      </x:c>
      <x:c r="Q39" s="461">
        <x:f t="shared" si="77"/>
        <x:v>4619000</x:v>
      </x:c>
      <x:c r="R39" s="462"/>
      <x:c r="S39" s="463">
        <x:f t="shared" si="78"/>
        <x:v>6178000</x:v>
      </x:c>
      <x:c r="T39" s="162" t="str">
        <x:f t="shared" si="79"/>
        <x:v>O</x:v>
      </x:c>
      <x:c r="U39" s="233"/>
      <x:c r="V39" s="224"/>
      <x:c r="W39" s="217"/>
      <x:c r="X39" s="234"/>
      <x:c r="Y39" s="217"/>
      <x:c r="Z39" s="356" t="str">
        <x:f t="shared" si="80"/>
        <x:v>국도비</x:v>
      </x:c>
      <x:c r="AA39" s="164"/>
      <x:c r="AB39" s="486">
        <x:v>-917000</x:v>
      </x:c>
      <x:c r="AC39" s="487">
        <x:f t="shared" si="81"/>
        <x:v>-642000</x:v>
      </x:c>
      <x:c r="AD39" s="356" t="str">
        <x:f t="shared" si="3"/>
        <x:v>OK</x:v>
      </x:c>
      <x:c r="AF39" s="502" t="str">
        <x:f t="shared" si="4"/>
        <x:v>금액입력</x:v>
      </x:c>
      <x:c r="AG39" s="503">
        <x:f t="shared" si="82"/>
        <x:v>0</x:v>
      </x:c>
      <x:c r="AH39" s="381" t="str">
        <x:f t="shared" si="5"/>
        <x:v>OK</x:v>
      </x:c>
      <x:c r="AI39" s="48"/>
      <x:c r="AJ39" s="221" t="s">
        <x:v>1615</x:v>
      </x:c>
      <x:c r="AK39" s="356">
        <x:f t="shared" si="7"/>
        <x:v>3</x:v>
      </x:c>
      <x:c r="AL39" s="356" t="str">
        <x:f t="shared" si="8"/>
        <x:v>OK</x:v>
      </x:c>
      <x:c r="AM39" s="356" t="str">
        <x:f t="shared" si="9"/>
        <x:v>국비</x:v>
      </x:c>
      <x:c r="AN39" s="356" t="e">
        <x:f>IF($AM39="","",IF($AM39="도비","OK",IF($AJ39="세입없음","OK",IF($AJ39="세입번호입력","@@",IF(VLOOKUP($AJ39,'4. 특입'!$AF$6:$AG$1000,2,FALSE)='4. 특출'!$AM39,"OK","@@")))))</x:f>
        <x:v>#N/A</x:v>
      </x:c>
      <x:c r="AO39" s="69"/>
      <x:c r="AP39" s="383"/>
    </x:row>
    <x:row r="40" spans="1:42" ht="80.099999999999994" customHeight="1">
      <x:c r="A40" s="155">
        <x:f>IF(D40="","",COUNTA($C$6:C40)-COUNTBLANK($C$6:C40)+7)</x:f>
        <x:v>5</x:v>
      </x:c>
      <x:c r="B40" s="156" t="str">
        <x: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x:f>
        <x:v>도시환경위원회</x:v>
      </x:c>
      <x:c r="C40" s="156" t="str">
        <x:f>IF(D40="","",IF(OR(D40="교육지원과"),"소방재난본부",VLOOKUP(D40,구분표!$A$3:$C$258,3,)))</x:f>
        <x:v>기후환경에너지국</x:v>
      </x:c>
      <x:c r="D40" s="226" t="s">
        <x:v>2024</x:v>
      </x:c>
      <x:c r="E40" s="213" t="s">
        <x:v>414</x:v>
      </x:c>
      <x:c r="F40" s="388">
        <x:v>1019</x:v>
      </x:c>
      <x:c r="G40" s="388">
        <x:v>266</x:v>
      </x:c>
      <x:c r="H40" s="213" t="s">
        <x:v>656</x:v>
      </x:c>
      <x:c r="I40" s="156" t="str">
        <x:f>IF(H40="","",VLOOKUP($H40,구분표!$K$3:$M$151,2,FALSE))</x:f>
        <x:v>자치단체등 자본이전</x:v>
      </x:c>
      <x:c r="J40" s="156" t="str">
        <x:f>IF(I40="","",VLOOKUP($H40,구분표!$K$3:$M$151,3,FALSE))</x:f>
        <x:v>자치단체자본보조</x:v>
      </x:c>
      <x:c r="K40" s="233" t="s">
        <x:v>1909</x:v>
      </x:c>
      <x:c r="L40" s="233" t="s">
        <x:v>1433</x:v>
      </x:c>
      <x:c r="M40" s="459">
        <x:v>2587400</x:v>
      </x:c>
      <x:c r="N40" s="459">
        <x:v>-2476900</x:v>
      </x:c>
      <x:c r="O40" s="461">
        <x:f t="shared" si="76"/>
        <x:v>110500</x:v>
      </x:c>
      <x:c r="P40" s="460">
        <x:v>-110500</x:v>
      </x:c>
      <x:c r="Q40" s="461">
        <x:f t="shared" si="77"/>
        <x:v>0</x:v>
      </x:c>
      <x:c r="R40" s="462"/>
      <x:c r="S40" s="463">
        <x:f t="shared" si="78"/>
        <x:v>110500</x:v>
      </x:c>
      <x:c r="T40" s="162" t="str">
        <x:f t="shared" si="79"/>
        <x:v>O</x:v>
      </x:c>
      <x:c r="U40" s="233"/>
      <x:c r="V40" s="224"/>
      <x:c r="W40" s="217"/>
      <x:c r="X40" s="234"/>
      <x:c r="Y40" s="217"/>
      <x:c r="Z40" s="356" t="str">
        <x:f t="shared" si="80"/>
        <x:v>국도비</x:v>
      </x:c>
      <x:c r="AA40" s="164"/>
      <x:c r="AB40" s="486">
        <x:v>-65000</x:v>
      </x:c>
      <x:c r="AC40" s="487">
        <x:f t="shared" si="81"/>
        <x:v>-45500</x:v>
      </x:c>
      <x:c r="AD40" s="356" t="str">
        <x:f t="shared" si="3"/>
        <x:v>OK</x:v>
      </x:c>
      <x:c r="AF40" s="502" t="str">
        <x:f t="shared" si="4"/>
        <x:v>금액입력</x:v>
      </x:c>
      <x:c r="AG40" s="503">
        <x:f t="shared" si="82"/>
        <x:v>0</x:v>
      </x:c>
      <x:c r="AH40" s="381" t="str">
        <x:f t="shared" si="5"/>
        <x:v>OK</x:v>
      </x:c>
      <x:c r="AI40" s="48"/>
      <x:c r="AJ40" s="221" t="s">
        <x:v>1305</x:v>
      </x:c>
      <x:c r="AK40" s="356">
        <x:f t="shared" si="7"/>
        <x:v>1</x:v>
      </x:c>
      <x:c r="AL40" s="356" t="str">
        <x:f t="shared" si="8"/>
        <x:v>OK</x:v>
      </x:c>
      <x:c r="AM40" s="356" t="str">
        <x:f t="shared" si="9"/>
        <x:v>국비</x:v>
      </x:c>
      <x:c r="AN40" s="356" t="e">
        <x:f>IF($AM40="","",IF($AM40="도비","OK",IF($AJ40="세입없음","OK",IF($AJ40="세입번호입력","@@",IF(VLOOKUP($AJ40,'4. 특입'!$AF$6:$AG$1000,2,FALSE)='4. 특출'!$AM40,"OK","@@")))))</x:f>
        <x:v>#N/A</x:v>
      </x:c>
      <x:c r="AO40" s="69"/>
      <x:c r="AP40" s="383"/>
    </x:row>
    <x:row r="41" spans="1:42" ht="60" customHeight="1">
      <x:c r="A41" s="174"/>
      <x:c r="B41" s="888" t="s">
        <x:v>869</x:v>
      </x:c>
      <x:c r="C41" s="888"/>
      <x:c r="D41" s="888"/>
      <x:c r="E41" s="888"/>
      <x:c r="F41" s="888"/>
      <x:c r="G41" s="888"/>
      <x:c r="H41" s="175"/>
      <x:c r="I41" s="175"/>
      <x:c r="J41" s="175"/>
      <x:c r="K41" s="175"/>
      <x:c r="L41" s="353" t="str">
        <x:f>SUBTOTAL(3,L42:L45)&amp;"건"</x:f>
        <x:v>0건</x:v>
      </x:c>
      <x:c r="M41" s="477">
        <x:f t="shared" ref="M41:S41" si="83">SUBTOTAL(9,M42:M45)</x:f>
        <x:v>0</x:v>
      </x:c>
      <x:c r="N41" s="477">
        <x:f t="shared" si="83"/>
        <x:v>0</x:v>
      </x:c>
      <x:c r="O41" s="477">
        <x:f t="shared" si="83"/>
        <x:v>0</x:v>
      </x:c>
      <x:c r="P41" s="477">
        <x:f t="shared" si="83"/>
        <x:v>0</x:v>
      </x:c>
      <x:c r="Q41" s="477">
        <x:f t="shared" si="83"/>
        <x:v>0</x:v>
      </x:c>
      <x:c r="R41" s="477">
        <x:f t="shared" si="83"/>
        <x:v>0</x:v>
      </x:c>
      <x:c r="S41" s="477">
        <x:f t="shared" si="83"/>
        <x:v>0</x:v>
      </x:c>
      <x:c r="T41" s="174"/>
      <x:c r="U41" s="176"/>
      <x:c r="V41" s="176"/>
      <x:c r="W41" s="177"/>
      <x:c r="X41" s="178"/>
      <x:c r="Y41" s="178"/>
      <x:c r="Z41" s="82"/>
      <x:c r="AA41" s="44"/>
      <x:c r="AB41" s="464">
        <x:f>SUBTOTAL(9,AB42:AB45)</x:f>
        <x:v>0</x:v>
      </x:c>
      <x:c r="AC41" s="464">
        <x:f>SUBTOTAL(9,AC42:AC45)</x:f>
        <x:v>0</x:v>
      </x:c>
      <x:c r="AD41" s="556" t="str">
        <x:f>IF(COUNTIF(AD42:AD45,"@@")&gt;0,"@@","OK")</x:f>
        <x:v>OK</x:v>
      </x:c>
      <x:c r="AF41" s="464">
        <x:f>SUBTOTAL(9,AF42:AF45)</x:f>
        <x:v>0</x:v>
      </x:c>
      <x:c r="AG41" s="464">
        <x:f>SUBTOTAL(9,AG42:AG45)</x:f>
        <x:v>0</x:v>
      </x:c>
      <x:c r="AH41" s="556" t="str">
        <x:f>IF(COUNTIF(AH42:AH45,"@@")&gt;0,"@@","OK")</x:f>
        <x:v>OK</x:v>
      </x:c>
      <x:c r="AI41" s="37"/>
      <x:c r="AJ41" s="82"/>
      <x:c r="AK41" s="82"/>
      <x:c r="AL41" s="556" t="str">
        <x:f>IF(COUNTIF(AL42:AL45,"@@")&gt;0,"@@","OK")</x:f>
        <x:v>OK</x:v>
      </x:c>
      <x:c r="AM41" s="82"/>
      <x:c r="AN41" s="556" t="str">
        <x:f>IF(COUNTIF(AN42:AN45,"@@")&gt;0,"@@","OK")</x:f>
        <x:v>OK</x:v>
      </x:c>
      <x:c r="AO41" s="37"/>
      <x:c r="AP41" s="82"/>
    </x:row>
    <x:row r="42" spans="1:43" ht="80.099999999999994" customHeight="1">
      <x:c r="A42" s="155" t="str">
        <x:f>IF(D42="","",COUNTA($C$6:C42)-COUNTBLANK($C$6:C42)+8)</x:f>
        <x:v/>
      </x:c>
      <x:c r="B42" s="156" t="str">
        <x: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x:f>
        <x:v/>
      </x:c>
      <x:c r="C42" s="156" t="str">
        <x:f>IF(D42="","",IF(OR(D42="교육지원과"),"소방재난본부",VLOOKUP(D42,구분표!$A$3:$C$258,3,)))</x:f>
        <x:v/>
      </x:c>
      <x:c r="D42" s="226"/>
      <x:c r="E42" s="213"/>
      <x:c r="F42" s="388" t="str">
        <x:f>IF($E42="","",IF($E42="2추","직접입력","-"))</x:f>
        <x:v/>
      </x:c>
      <x:c r="G42" s="388" t="str">
        <x:f>IF($E42="","",IF($E42="2추","직접입력","-"))</x:f>
        <x:v/>
      </x:c>
      <x:c r="H42" s="213"/>
      <x:c r="I42" s="156" t="str">
        <x:f>IF(H42="","",VLOOKUP($H42,구분표!$K$3:$M$151,2,FALSE))</x:f>
        <x:v/>
      </x:c>
      <x:c r="J42" s="156" t="str">
        <x:f>IF(I42="","",VLOOKUP($H42,구분표!$K$3:$M$151,3,FALSE))</x:f>
        <x:v/>
      </x:c>
      <x:c r="K42" s="233"/>
      <x:c r="L42" s="233"/>
      <x:c r="M42" s="459" t="str">
        <x:f>IF($E42="","",IF(OR($E42="2추",$E42="1추",$E42="본예산"),"금액입력","-"))</x:f>
        <x:v/>
      </x:c>
      <x:c r="N42" s="459" t="str">
        <x:f>IF($E42="","",IF($E42="2추","금액입력","-"))</x:f>
        <x:v/>
      </x:c>
      <x:c r="O42" s="461" t="str">
        <x:f t="shared" ref="O42:O45" si="84">IF($E42="","",SUM(M42:N42))</x:f>
        <x:v/>
      </x:c>
      <x:c r="P42" s="460"/>
      <x:c r="Q42" s="461">
        <x:f t="shared" ref="Q42:Q45" si="85">SUM(O42:P42)</x:f>
        <x:v>0</x:v>
      </x:c>
      <x:c r="R42" s="462"/>
      <x:c r="S42" s="463">
        <x:f t="shared" ref="S42:S45" si="86">SUM(O42,R42)</x:f>
        <x:v>0</x:v>
      </x:c>
      <x:c r="T42" s="162" t="str">
        <x:f t="shared" ref="T42:T45" si="87">IF(AND((Q42=0),(S42&gt;0)),"O",IF(AND((P42&lt;0),(Q42-S42&lt;0)),"O","X"))</x:f>
        <x:v>X</x:v>
      </x:c>
      <x:c r="U42" s="233"/>
      <x:c r="V42" s="224"/>
      <x:c r="W42" s="217"/>
      <x:c r="X42" s="234"/>
      <x:c r="Y42" s="217"/>
      <x:c r="Z42" s="356" t="str">
        <x:f t="shared" ref="Z42:Z45" si="88">IF($K42="","",IF(COUNT(FIND("국비/",$K42)),"국도비",IF(COUNT(FIND("균특/",$K42)),"국도비",IF(COUNT(FIND("기금/",$K42)),"국도비",IF(COUNT(FIND("교부세/",$K42)),"국도비",IF(COUNT(FIND("소방안전/",$K42)),"국도비",IF(COUNT(FIND("소멸대응/",$K42)),"국도비","도비")))))))</x:f>
        <x:v/>
      </x:c>
      <x:c r="AA42" s="164"/>
      <x:c r="AB42" s="486" t="str">
        <x:f t="shared" si="2"/>
        <x:v/>
      </x:c>
      <x:c r="AC42" s="487">
        <x:f t="shared" ref="AC42:AC45" si="89">IFERROR(P42-AB42,0)</x:f>
        <x:v>0</x:v>
      </x:c>
      <x:c r="AD42" s="356" t="str">
        <x:f t="shared" si="3"/>
        <x:v>OK</x:v>
      </x:c>
      <x:c r="AF42" s="502" t="str">
        <x:f t="shared" si="4"/>
        <x:v/>
      </x:c>
      <x:c r="AG42" s="503">
        <x:f t="shared" ref="AG42:AG45" si="90">IFERROR(R42-AF42,0)</x:f>
        <x:v>0</x:v>
      </x:c>
      <x:c r="AH42" s="381" t="str">
        <x:f t="shared" si="5"/>
        <x:v>OK</x:v>
      </x:c>
      <x:c r="AI42" s="48"/>
      <x:c r="AJ42" s="221" t="str">
        <x:f t="shared" si="6"/>
        <x:v/>
      </x:c>
      <x:c r="AK42" s="356" t="str">
        <x:f t="shared" si="7"/>
        <x:v/>
      </x:c>
      <x:c r="AL42" s="356" t="str">
        <x:f t="shared" si="8"/>
        <x:v/>
      </x:c>
      <x:c r="AM42" s="356" t="str">
        <x:f t="shared" si="9"/>
        <x:v/>
      </x:c>
      <x:c r="AN42" s="356" t="str">
        <x:f>IF($AM42="","",IF($AM42="도비","OK",IF($AJ42="세입없음","OK",IF($AJ42="세입번호입력","@@",IF(VLOOKUP($AJ42,'4. 특입'!$AF$6:$AG$1000,2,FALSE)='4. 특출'!$AM42,"OK","@@")))))</x:f>
        <x:v/>
      </x:c>
      <x:c r="AO42" s="69"/>
      <x:c r="AP42" s="383"/>
      <x:c r="AQ42" s="28"/>
    </x:row>
    <x:row r="43" spans="1:43" ht="80.099999999999994" customHeight="1">
      <x:c r="A43" s="155" t="str">
        <x:f>IF(D43="","",COUNTA($C$6:C43)-COUNTBLANK($C$6:C43)+8)</x:f>
        <x:v/>
      </x:c>
      <x:c r="B43" s="156" t="str">
        <x: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x:f>
        <x:v/>
      </x:c>
      <x:c r="C43" s="156" t="str">
        <x:f>IF(D43="","",IF(OR(D43="교육지원과"),"소방재난본부",VLOOKUP(D43,구분표!$A$3:$C$258,3,)))</x:f>
        <x:v/>
      </x:c>
      <x:c r="D43" s="226"/>
      <x:c r="E43" s="213"/>
      <x:c r="F43" s="388" t="str">
        <x:f t="shared" ref="F43:G45" si="91">IF($E43="","",IF($E43="2추","직접입력","-"))</x:f>
        <x:v/>
      </x:c>
      <x:c r="G43" s="388" t="str">
        <x:f t="shared" si="91"/>
        <x:v/>
      </x:c>
      <x:c r="H43" s="213"/>
      <x:c r="I43" s="156" t="str">
        <x:f>IF(H43="","",VLOOKUP($H43,구분표!$K$3:$M$151,2,FALSE))</x:f>
        <x:v/>
      </x:c>
      <x:c r="J43" s="156" t="str">
        <x:f>IF(I43="","",VLOOKUP($H43,구분표!$K$3:$M$151,3,FALSE))</x:f>
        <x:v/>
      </x:c>
      <x:c r="K43" s="233"/>
      <x:c r="L43" s="233"/>
      <x:c r="M43" s="459" t="str">
        <x:f t="shared" ref="M43:M45" si="92">IF($E43="","",IF(OR($E43="2추",$E43="1추",$E43="본예산"),"금액입력","-"))</x:f>
        <x:v/>
      </x:c>
      <x:c r="N43" s="459" t="str">
        <x:f t="shared" ref="N43:N45" si="93">IF($E43="","",IF($E43="2추","금액입력","-"))</x:f>
        <x:v/>
      </x:c>
      <x:c r="O43" s="461" t="str">
        <x:f t="shared" si="84"/>
        <x:v/>
      </x:c>
      <x:c r="P43" s="460"/>
      <x:c r="Q43" s="461">
        <x:f t="shared" si="85"/>
        <x:v>0</x:v>
      </x:c>
      <x:c r="R43" s="462"/>
      <x:c r="S43" s="463">
        <x:f t="shared" si="86"/>
        <x:v>0</x:v>
      </x:c>
      <x:c r="T43" s="162" t="str">
        <x:f t="shared" si="87"/>
        <x:v>X</x:v>
      </x:c>
      <x:c r="U43" s="233"/>
      <x:c r="V43" s="224"/>
      <x:c r="W43" s="217"/>
      <x:c r="X43" s="234"/>
      <x:c r="Y43" s="217"/>
      <x:c r="Z43" s="356" t="str">
        <x:f t="shared" si="88"/>
        <x:v/>
      </x:c>
      <x:c r="AA43" s="164"/>
      <x:c r="AB43" s="486" t="str">
        <x:f t="shared" si="2"/>
        <x:v/>
      </x:c>
      <x:c r="AC43" s="487">
        <x:f t="shared" si="89"/>
        <x:v>0</x:v>
      </x:c>
      <x:c r="AD43" s="356" t="str">
        <x:f t="shared" si="3"/>
        <x:v>OK</x:v>
      </x:c>
      <x:c r="AF43" s="502" t="str">
        <x:f t="shared" si="4"/>
        <x:v/>
      </x:c>
      <x:c r="AG43" s="503">
        <x:f t="shared" si="90"/>
        <x:v>0</x:v>
      </x:c>
      <x:c r="AH43" s="381" t="str">
        <x:f t="shared" si="5"/>
        <x:v>OK</x:v>
      </x:c>
      <x:c r="AI43" s="48"/>
      <x:c r="AJ43" s="221" t="str">
        <x:f t="shared" si="6"/>
        <x:v/>
      </x:c>
      <x:c r="AK43" s="356" t="str">
        <x:f t="shared" si="7"/>
        <x:v/>
      </x:c>
      <x:c r="AL43" s="356" t="str">
        <x:f t="shared" si="8"/>
        <x:v/>
      </x:c>
      <x:c r="AM43" s="356" t="str">
        <x:f t="shared" si="9"/>
        <x:v/>
      </x:c>
      <x:c r="AN43" s="356" t="str">
        <x:f>IF($AM43="","",IF($AM43="도비","OK",IF($AJ43="세입없음","OK",IF($AJ43="세입번호입력","@@",IF(VLOOKUP($AJ43,'4. 특입'!$AF$6:$AG$1000,2,FALSE)='4. 특출'!$AM43,"OK","@@")))))</x:f>
        <x:v/>
      </x:c>
      <x:c r="AO43" s="69"/>
      <x:c r="AP43" s="383"/>
      <x:c r="AQ43" s="28"/>
    </x:row>
    <x:row r="44" spans="1:42" ht="80.099999999999994" customHeight="1">
      <x:c r="A44" s="155" t="str">
        <x:f>IF(D44="","",COUNTA($C$6:C44)-COUNTBLANK($C$6:C44)+8)</x:f>
        <x:v/>
      </x:c>
      <x:c r="B44" s="156" t="str">
        <x: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x:f>
        <x:v/>
      </x:c>
      <x:c r="C44" s="156" t="str">
        <x:f>IF(D44="","",IF(OR(D44="교육지원과"),"소방재난본부",VLOOKUP(D44,구분표!$A$3:$C$258,3,)))</x:f>
        <x:v/>
      </x:c>
      <x:c r="D44" s="226"/>
      <x:c r="E44" s="213"/>
      <x:c r="F44" s="388" t="str">
        <x:f t="shared" si="91"/>
        <x:v/>
      </x:c>
      <x:c r="G44" s="388" t="str">
        <x:f t="shared" si="91"/>
        <x:v/>
      </x:c>
      <x:c r="H44" s="213"/>
      <x:c r="I44" s="156" t="str">
        <x:f>IF(H44="","",VLOOKUP($H44,구분표!$K$3:$M$151,2,FALSE))</x:f>
        <x:v/>
      </x:c>
      <x:c r="J44" s="156" t="str">
        <x:f>IF(I44="","",VLOOKUP($H44,구분표!$K$3:$M$151,3,FALSE))</x:f>
        <x:v/>
      </x:c>
      <x:c r="K44" s="233"/>
      <x:c r="L44" s="233"/>
      <x:c r="M44" s="459" t="str">
        <x:f t="shared" si="92"/>
        <x:v/>
      </x:c>
      <x:c r="N44" s="459" t="str">
        <x:f t="shared" si="93"/>
        <x:v/>
      </x:c>
      <x:c r="O44" s="461" t="str">
        <x:f t="shared" si="84"/>
        <x:v/>
      </x:c>
      <x:c r="P44" s="460"/>
      <x:c r="Q44" s="461">
        <x:f t="shared" si="85"/>
        <x:v>0</x:v>
      </x:c>
      <x:c r="R44" s="462"/>
      <x:c r="S44" s="463">
        <x:f t="shared" si="86"/>
        <x:v>0</x:v>
      </x:c>
      <x:c r="T44" s="162" t="str">
        <x:f t="shared" si="87"/>
        <x:v>X</x:v>
      </x:c>
      <x:c r="U44" s="233"/>
      <x:c r="V44" s="224"/>
      <x:c r="W44" s="217"/>
      <x:c r="X44" s="234"/>
      <x:c r="Y44" s="217"/>
      <x:c r="Z44" s="356" t="str">
        <x:f t="shared" si="88"/>
        <x:v/>
      </x:c>
      <x:c r="AA44" s="164"/>
      <x:c r="AB44" s="486" t="str">
        <x:f t="shared" si="2"/>
        <x:v/>
      </x:c>
      <x:c r="AC44" s="487">
        <x:f t="shared" si="89"/>
        <x:v>0</x:v>
      </x:c>
      <x:c r="AD44" s="356" t="str">
        <x:f t="shared" si="3"/>
        <x:v>OK</x:v>
      </x:c>
      <x:c r="AF44" s="502" t="str">
        <x:f t="shared" si="4"/>
        <x:v/>
      </x:c>
      <x:c r="AG44" s="503">
        <x:f t="shared" si="90"/>
        <x:v>0</x:v>
      </x:c>
      <x:c r="AH44" s="381" t="str">
        <x:f t="shared" si="5"/>
        <x:v>OK</x:v>
      </x:c>
      <x:c r="AI44" s="48"/>
      <x:c r="AJ44" s="221" t="str">
        <x:f t="shared" si="6"/>
        <x:v/>
      </x:c>
      <x:c r="AK44" s="356" t="str">
        <x:f t="shared" si="7"/>
        <x:v/>
      </x:c>
      <x:c r="AL44" s="356" t="str">
        <x:f t="shared" si="8"/>
        <x:v/>
      </x:c>
      <x:c r="AM44" s="356" t="str">
        <x:f t="shared" si="9"/>
        <x:v/>
      </x:c>
      <x:c r="AN44" s="356" t="str">
        <x:f>IF($AM44="","",IF($AM44="도비","OK",IF($AJ44="세입없음","OK",IF($AJ44="세입번호입력","@@",IF(VLOOKUP($AJ44,'4. 특입'!$AF$6:$AG$1000,2,FALSE)='4. 특출'!$AM44,"OK","@@")))))</x:f>
        <x:v/>
      </x:c>
      <x:c r="AO44" s="69"/>
      <x:c r="AP44" s="383"/>
    </x:row>
    <x:row r="45" spans="1:42" ht="80.099999999999994" customHeight="1">
      <x:c r="A45" s="155" t="str">
        <x:f>IF(D45="","",COUNTA($C$6:C45)-COUNTBLANK($C$6:C45)+8)</x:f>
        <x:v/>
      </x:c>
      <x:c r="B45" s="156" t="str">
        <x: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x:f>
        <x:v/>
      </x:c>
      <x:c r="C45" s="156" t="str">
        <x:f>IF(D45="","",IF(OR(D45="교육지원과"),"소방재난본부",VLOOKUP(D45,구분표!$A$3:$C$258,3,)))</x:f>
        <x:v/>
      </x:c>
      <x:c r="D45" s="226"/>
      <x:c r="E45" s="213"/>
      <x:c r="F45" s="388" t="str">
        <x:f t="shared" si="91"/>
        <x:v/>
      </x:c>
      <x:c r="G45" s="388" t="str">
        <x:f t="shared" si="91"/>
        <x:v/>
      </x:c>
      <x:c r="H45" s="213"/>
      <x:c r="I45" s="156" t="str">
        <x:f>IF(H45="","",VLOOKUP($H45,구분표!$K$3:$M$151,2,FALSE))</x:f>
        <x:v/>
      </x:c>
      <x:c r="J45" s="156" t="str">
        <x:f>IF(I45="","",VLOOKUP($H45,구분표!$K$3:$M$151,3,FALSE))</x:f>
        <x:v/>
      </x:c>
      <x:c r="K45" s="233"/>
      <x:c r="L45" s="233"/>
      <x:c r="M45" s="459" t="str">
        <x:f t="shared" si="92"/>
        <x:v/>
      </x:c>
      <x:c r="N45" s="459" t="str">
        <x:f t="shared" si="93"/>
        <x:v/>
      </x:c>
      <x:c r="O45" s="461" t="str">
        <x:f t="shared" si="84"/>
        <x:v/>
      </x:c>
      <x:c r="P45" s="460"/>
      <x:c r="Q45" s="461">
        <x:f t="shared" si="85"/>
        <x:v>0</x:v>
      </x:c>
      <x:c r="R45" s="462"/>
      <x:c r="S45" s="463">
        <x:f t="shared" si="86"/>
        <x:v>0</x:v>
      </x:c>
      <x:c r="T45" s="162" t="str">
        <x:f t="shared" si="87"/>
        <x:v>X</x:v>
      </x:c>
      <x:c r="U45" s="233"/>
      <x:c r="V45" s="224"/>
      <x:c r="W45" s="217"/>
      <x:c r="X45" s="234"/>
      <x:c r="Y45" s="217"/>
      <x:c r="Z45" s="356" t="str">
        <x:f t="shared" si="88"/>
        <x:v/>
      </x:c>
      <x:c r="AA45" s="164"/>
      <x:c r="AB45" s="486" t="str">
        <x:f t="shared" si="2"/>
        <x:v/>
      </x:c>
      <x:c r="AC45" s="487">
        <x:f t="shared" si="89"/>
        <x:v>0</x:v>
      </x:c>
      <x:c r="AD45" s="356" t="str">
        <x:f t="shared" si="3"/>
        <x:v>OK</x:v>
      </x:c>
      <x:c r="AF45" s="502" t="str">
        <x:f t="shared" si="4"/>
        <x:v/>
      </x:c>
      <x:c r="AG45" s="503">
        <x:f t="shared" si="90"/>
        <x:v>0</x:v>
      </x:c>
      <x:c r="AH45" s="381" t="str">
        <x:f t="shared" si="5"/>
        <x:v>OK</x:v>
      </x:c>
      <x:c r="AI45" s="48"/>
      <x:c r="AJ45" s="221" t="str">
        <x:f t="shared" si="6"/>
        <x:v/>
      </x:c>
      <x:c r="AK45" s="356" t="str">
        <x:f t="shared" si="7"/>
        <x:v/>
      </x:c>
      <x:c r="AL45" s="356" t="str">
        <x:f t="shared" si="8"/>
        <x:v/>
      </x:c>
      <x:c r="AM45" s="356" t="str">
        <x:f t="shared" si="9"/>
        <x:v/>
      </x:c>
      <x:c r="AN45" s="356" t="str">
        <x:f>IF($AM45="","",IF($AM45="도비","OK",IF($AJ45="세입없음","OK",IF($AJ45="세입번호입력","@@",IF(VLOOKUP($AJ45,'4. 특입'!$AF$6:$AG$1000,2,FALSE)='4. 특출'!$AM45,"OK","@@")))))</x:f>
        <x:v/>
      </x:c>
      <x:c r="AO45" s="69"/>
      <x:c r="AP45" s="383"/>
    </x:row>
    <x:row r="46" spans="1:42" ht="60" customHeight="1">
      <x:c r="A46" s="174"/>
      <x:c r="B46" s="888" t="s">
        <x:v>1499</x:v>
      </x:c>
      <x:c r="C46" s="888"/>
      <x:c r="D46" s="888"/>
      <x:c r="E46" s="888"/>
      <x:c r="F46" s="888"/>
      <x:c r="G46" s="888"/>
      <x:c r="H46" s="175"/>
      <x:c r="I46" s="175"/>
      <x:c r="J46" s="175"/>
      <x:c r="K46" s="175"/>
      <x:c r="L46" s="353" t="str">
        <x:f>SUBTOTAL(3,L47:L50)&amp;"건"</x:f>
        <x:v>0건</x:v>
      </x:c>
      <x:c r="M46" s="477">
        <x:f t="shared" ref="M46:S46" si="94">SUBTOTAL(9,M47:M50)</x:f>
        <x:v>0</x:v>
      </x:c>
      <x:c r="N46" s="477">
        <x:f t="shared" si="94"/>
        <x:v>0</x:v>
      </x:c>
      <x:c r="O46" s="477">
        <x:f t="shared" si="94"/>
        <x:v>0</x:v>
      </x:c>
      <x:c r="P46" s="477">
        <x:f t="shared" si="94"/>
        <x:v>0</x:v>
      </x:c>
      <x:c r="Q46" s="477">
        <x:f t="shared" si="94"/>
        <x:v>0</x:v>
      </x:c>
      <x:c r="R46" s="477">
        <x:f t="shared" si="94"/>
        <x:v>0</x:v>
      </x:c>
      <x:c r="S46" s="477">
        <x:f t="shared" si="94"/>
        <x:v>0</x:v>
      </x:c>
      <x:c r="T46" s="174"/>
      <x:c r="U46" s="176"/>
      <x:c r="V46" s="176"/>
      <x:c r="W46" s="177"/>
      <x:c r="X46" s="178"/>
      <x:c r="Y46" s="178"/>
      <x:c r="Z46" s="82"/>
      <x:c r="AA46" s="44"/>
      <x:c r="AB46" s="464">
        <x:f>SUBTOTAL(9,AB47:AB50)</x:f>
        <x:v>0</x:v>
      </x:c>
      <x:c r="AC46" s="464">
        <x:f>SUBTOTAL(9,AC47:AC50)</x:f>
        <x:v>0</x:v>
      </x:c>
      <x:c r="AD46" s="556" t="str">
        <x:f>IF(COUNTIF(AD47:AD50,"@@")&gt;0,"@@","OK")</x:f>
        <x:v>OK</x:v>
      </x:c>
      <x:c r="AF46" s="464">
        <x:f>SUBTOTAL(9,AF47:AF50)</x:f>
        <x:v>0</x:v>
      </x:c>
      <x:c r="AG46" s="464">
        <x:f>SUBTOTAL(9,AG47:AG50)</x:f>
        <x:v>0</x:v>
      </x:c>
      <x:c r="AH46" s="556" t="str">
        <x:f>IF(COUNTIF(AH47:AH50,"@@")&gt;0,"@@","OK")</x:f>
        <x:v>OK</x:v>
      </x:c>
      <x:c r="AI46" s="37"/>
      <x:c r="AJ46" s="82"/>
      <x:c r="AK46" s="82"/>
      <x:c r="AL46" s="556" t="str">
        <x:f>IF(COUNTIF(AL47:AL50,"@@")&gt;0,"@@","OK")</x:f>
        <x:v>OK</x:v>
      </x:c>
      <x:c r="AM46" s="82"/>
      <x:c r="AN46" s="556" t="str">
        <x:f>IF(COUNTIF(AN47:AN50,"@@")&gt;0,"@@","OK")</x:f>
        <x:v>OK</x:v>
      </x:c>
      <x:c r="AO46" s="37"/>
      <x:c r="AP46" s="82"/>
    </x:row>
    <x:row r="47" spans="1:43" ht="80.099999999999994" customHeight="1">
      <x:c r="A47" s="155" t="str">
        <x:f>IF(D47="","",COUNTA($C$6:C47)-COUNTBLANK($C$6:C47)+9)</x:f>
        <x:v/>
      </x:c>
      <x:c r="B47" s="156" t="str">
        <x: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x:f>
        <x:v/>
      </x:c>
      <x:c r="C47" s="156" t="str">
        <x:f>IF(D47="","",IF(OR(D47="교육지원과"),"소방재난본부",VLOOKUP(D47,구분표!$A$3:$C$258,3,)))</x:f>
        <x:v/>
      </x:c>
      <x:c r="D47" s="226"/>
      <x:c r="E47" s="213"/>
      <x:c r="F47" s="388" t="str">
        <x:f>IF($E47="","",IF($E47="2추","직접입력","-"))</x:f>
        <x:v/>
      </x:c>
      <x:c r="G47" s="388" t="str">
        <x:f>IF($E47="","",IF($E47="2추","직접입력","-"))</x:f>
        <x:v/>
      </x:c>
      <x:c r="H47" s="213"/>
      <x:c r="I47" s="156" t="str">
        <x:f>IF(H47="","",VLOOKUP($H47,구분표!$K$3:$M$151,2,FALSE))</x:f>
        <x:v/>
      </x:c>
      <x:c r="J47" s="156" t="str">
        <x:f>IF(I47="","",VLOOKUP($H47,구분표!$K$3:$M$151,3,FALSE))</x:f>
        <x:v/>
      </x:c>
      <x:c r="K47" s="233"/>
      <x:c r="L47" s="233"/>
      <x:c r="M47" s="459" t="str">
        <x:f>IF($E47="","",IF(OR($E47="2추",$E47="1추",$E47="본예산"),"금액입력","-"))</x:f>
        <x:v/>
      </x:c>
      <x:c r="N47" s="459" t="str">
        <x:f>IF($E47="","",IF($E47="2추","금액입력","-"))</x:f>
        <x:v/>
      </x:c>
      <x:c r="O47" s="461" t="str">
        <x:f t="shared" ref="O47:O50" si="95">IF($E47="","",SUM(M47:N47))</x:f>
        <x:v/>
      </x:c>
      <x:c r="P47" s="460"/>
      <x:c r="Q47" s="461">
        <x:f t="shared" ref="Q47:Q50" si="96">SUM(O47:P47)</x:f>
        <x:v>0</x:v>
      </x:c>
      <x:c r="R47" s="462"/>
      <x:c r="S47" s="463">
        <x:f t="shared" ref="S47:S50" si="97">SUM(O47,R47)</x:f>
        <x:v>0</x:v>
      </x:c>
      <x:c r="T47" s="162" t="str">
        <x:f t="shared" ref="T47:T50" si="98">IF(AND((Q47=0),(S47&gt;0)),"O",IF(AND((P47&lt;0),(Q47-S47&lt;0)),"O","X"))</x:f>
        <x:v>X</x:v>
      </x:c>
      <x:c r="U47" s="233"/>
      <x:c r="V47" s="224"/>
      <x:c r="W47" s="217"/>
      <x:c r="X47" s="234"/>
      <x:c r="Y47" s="217"/>
      <x:c r="Z47" s="356" t="str">
        <x:f t="shared" ref="Z47:Z50" si="99">IF($K47="","",IF(COUNT(FIND("국비/",$K47)),"국도비",IF(COUNT(FIND("균특/",$K47)),"국도비",IF(COUNT(FIND("기금/",$K47)),"국도비",IF(COUNT(FIND("교부세/",$K47)),"국도비",IF(COUNT(FIND("소방안전/",$K47)),"국도비",IF(COUNT(FIND("소멸대응/",$K47)),"국도비","도비")))))))</x:f>
        <x:v/>
      </x:c>
      <x:c r="AA47" s="164"/>
      <x:c r="AB47" s="486" t="str">
        <x:f t="shared" si="2"/>
        <x:v/>
      </x:c>
      <x:c r="AC47" s="487">
        <x:f t="shared" ref="AC47:AC50" si="100">IFERROR(P47-AB47,0)</x:f>
        <x:v>0</x:v>
      </x:c>
      <x:c r="AD47" s="356" t="str">
        <x:f t="shared" si="3"/>
        <x:v>OK</x:v>
      </x:c>
      <x:c r="AF47" s="502" t="str">
        <x:f t="shared" si="4"/>
        <x:v/>
      </x:c>
      <x:c r="AG47" s="503">
        <x:f t="shared" ref="AG47:AG50" si="101">IFERROR(R47-AF47,0)</x:f>
        <x:v>0</x:v>
      </x:c>
      <x:c r="AH47" s="381" t="str">
        <x:f t="shared" si="5"/>
        <x:v>OK</x:v>
      </x:c>
      <x:c r="AI47" s="48"/>
      <x:c r="AJ47" s="221" t="str">
        <x:f t="shared" si="6"/>
        <x:v/>
      </x:c>
      <x:c r="AK47" s="356" t="str">
        <x:f t="shared" si="7"/>
        <x:v/>
      </x:c>
      <x:c r="AL47" s="356" t="str">
        <x:f t="shared" si="8"/>
        <x:v/>
      </x:c>
      <x:c r="AM47" s="356" t="str">
        <x:f t="shared" si="9"/>
        <x:v/>
      </x:c>
      <x:c r="AN47" s="356" t="str">
        <x:f>IF($AM47="","",IF($AM47="도비","OK",IF($AJ47="세입없음","OK",IF($AJ47="세입번호입력","@@",IF(VLOOKUP($AJ47,'4. 특입'!$AF$6:$AG$1000,2,FALSE)='4. 특출'!$AM47,"OK","@@")))))</x:f>
        <x:v/>
      </x:c>
      <x:c r="AO47" s="69"/>
      <x:c r="AP47" s="383"/>
      <x:c r="AQ47" s="28"/>
    </x:row>
    <x:row r="48" spans="1:43" ht="80.099999999999994" customHeight="1">
      <x:c r="A48" s="155" t="str">
        <x:f>IF(D48="","",COUNTA($C$6:C48)-COUNTBLANK($C$6:C48)+9)</x:f>
        <x:v/>
      </x:c>
      <x:c r="B48" s="156" t="str">
        <x: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x:f>
        <x:v/>
      </x:c>
      <x:c r="C48" s="156" t="str">
        <x:f>IF(D48="","",IF(OR(D48="교육지원과"),"소방재난본부",VLOOKUP(D48,구분표!$A$3:$C$258,3,)))</x:f>
        <x:v/>
      </x:c>
      <x:c r="D48" s="226"/>
      <x:c r="E48" s="213"/>
      <x:c r="F48" s="388" t="str">
        <x:f t="shared" ref="F48:G50" si="102">IF($E48="","",IF($E48="2추","직접입력","-"))</x:f>
        <x:v/>
      </x:c>
      <x:c r="G48" s="388" t="str">
        <x:f t="shared" si="102"/>
        <x:v/>
      </x:c>
      <x:c r="H48" s="213"/>
      <x:c r="I48" s="156" t="str">
        <x:f>IF(H48="","",VLOOKUP($H48,구분표!$K$3:$M$151,2,FALSE))</x:f>
        <x:v/>
      </x:c>
      <x:c r="J48" s="156" t="str">
        <x:f>IF(I48="","",VLOOKUP($H48,구분표!$K$3:$M$151,3,FALSE))</x:f>
        <x:v/>
      </x:c>
      <x:c r="K48" s="233"/>
      <x:c r="L48" s="233"/>
      <x:c r="M48" s="459" t="str">
        <x:f t="shared" ref="M48:M50" si="103">IF($E48="","",IF(OR($E48="2추",$E48="1추",$E48="본예산"),"금액입력","-"))</x:f>
        <x:v/>
      </x:c>
      <x:c r="N48" s="459" t="str">
        <x:f t="shared" ref="N48:N50" si="104">IF($E48="","",IF($E48="2추","금액입력","-"))</x:f>
        <x:v/>
      </x:c>
      <x:c r="O48" s="461" t="str">
        <x:f t="shared" si="95"/>
        <x:v/>
      </x:c>
      <x:c r="P48" s="460"/>
      <x:c r="Q48" s="461">
        <x:f t="shared" si="96"/>
        <x:v>0</x:v>
      </x:c>
      <x:c r="R48" s="462"/>
      <x:c r="S48" s="463">
        <x:f t="shared" si="97"/>
        <x:v>0</x:v>
      </x:c>
      <x:c r="T48" s="162" t="str">
        <x:f t="shared" si="98"/>
        <x:v>X</x:v>
      </x:c>
      <x:c r="U48" s="233"/>
      <x:c r="V48" s="224"/>
      <x:c r="W48" s="217"/>
      <x:c r="X48" s="234"/>
      <x:c r="Y48" s="217"/>
      <x:c r="Z48" s="356" t="str">
        <x:f t="shared" si="99"/>
        <x:v/>
      </x:c>
      <x:c r="AA48" s="164"/>
      <x:c r="AB48" s="486" t="str">
        <x:f t="shared" si="2"/>
        <x:v/>
      </x:c>
      <x:c r="AC48" s="487">
        <x:f t="shared" si="100"/>
        <x:v>0</x:v>
      </x:c>
      <x:c r="AD48" s="356" t="str">
        <x:f t="shared" si="3"/>
        <x:v>OK</x:v>
      </x:c>
      <x:c r="AF48" s="502" t="str">
        <x:f t="shared" si="4"/>
        <x:v/>
      </x:c>
      <x:c r="AG48" s="503">
        <x:f t="shared" si="101"/>
        <x:v>0</x:v>
      </x:c>
      <x:c r="AH48" s="381" t="str">
        <x:f t="shared" si="5"/>
        <x:v>OK</x:v>
      </x:c>
      <x:c r="AI48" s="48"/>
      <x:c r="AJ48" s="221" t="str">
        <x:f t="shared" si="6"/>
        <x:v/>
      </x:c>
      <x:c r="AK48" s="356" t="str">
        <x:f t="shared" si="7"/>
        <x:v/>
      </x:c>
      <x:c r="AL48" s="356" t="str">
        <x:f t="shared" si="8"/>
        <x:v/>
      </x:c>
      <x:c r="AM48" s="356" t="str">
        <x:f t="shared" si="9"/>
        <x:v/>
      </x:c>
      <x:c r="AN48" s="356" t="str">
        <x:f>IF($AM48="","",IF($AM48="도비","OK",IF($AJ48="세입없음","OK",IF($AJ48="세입번호입력","@@",IF(VLOOKUP($AJ48,'4. 특입'!$AF$6:$AG$1000,2,FALSE)='4. 특출'!$AM48,"OK","@@")))))</x:f>
        <x:v/>
      </x:c>
      <x:c r="AO48" s="69"/>
      <x:c r="AP48" s="383"/>
      <x:c r="AQ48" s="28"/>
    </x:row>
    <x:row r="49" spans="1:42" ht="80.099999999999994" customHeight="1">
      <x:c r="A49" s="155" t="str">
        <x:f>IF(D49="","",COUNTA($C$6:C49)-COUNTBLANK($C$6:C49)+9)</x:f>
        <x:v/>
      </x:c>
      <x:c r="B49" s="156" t="str">
        <x: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x:f>
        <x:v/>
      </x:c>
      <x:c r="C49" s="156" t="str">
        <x:f>IF(D49="","",IF(OR(D49="교육지원과"),"소방재난본부",VLOOKUP(D49,구분표!$A$3:$C$258,3,)))</x:f>
        <x:v/>
      </x:c>
      <x:c r="D49" s="226"/>
      <x:c r="E49" s="213"/>
      <x:c r="F49" s="388" t="str">
        <x:f t="shared" si="102"/>
        <x:v/>
      </x:c>
      <x:c r="G49" s="388" t="str">
        <x:f t="shared" si="102"/>
        <x:v/>
      </x:c>
      <x:c r="H49" s="213"/>
      <x:c r="I49" s="156" t="str">
        <x:f>IF(H49="","",VLOOKUP($H49,구분표!$K$3:$M$151,2,FALSE))</x:f>
        <x:v/>
      </x:c>
      <x:c r="J49" s="156" t="str">
        <x:f>IF(I49="","",VLOOKUP($H49,구분표!$K$3:$M$151,3,FALSE))</x:f>
        <x:v/>
      </x:c>
      <x:c r="K49" s="233"/>
      <x:c r="L49" s="233"/>
      <x:c r="M49" s="459" t="str">
        <x:f t="shared" si="103"/>
        <x:v/>
      </x:c>
      <x:c r="N49" s="459" t="str">
        <x:f t="shared" si="104"/>
        <x:v/>
      </x:c>
      <x:c r="O49" s="461" t="str">
        <x:f t="shared" si="95"/>
        <x:v/>
      </x:c>
      <x:c r="P49" s="460"/>
      <x:c r="Q49" s="461">
        <x:f t="shared" si="96"/>
        <x:v>0</x:v>
      </x:c>
      <x:c r="R49" s="462"/>
      <x:c r="S49" s="463">
        <x:f t="shared" si="97"/>
        <x:v>0</x:v>
      </x:c>
      <x:c r="T49" s="162" t="str">
        <x:f t="shared" si="98"/>
        <x:v>X</x:v>
      </x:c>
      <x:c r="U49" s="233"/>
      <x:c r="V49" s="224"/>
      <x:c r="W49" s="217"/>
      <x:c r="X49" s="234"/>
      <x:c r="Y49" s="217"/>
      <x:c r="Z49" s="356" t="str">
        <x:f t="shared" si="99"/>
        <x:v/>
      </x:c>
      <x:c r="AA49" s="164"/>
      <x:c r="AB49" s="486" t="str">
        <x:f t="shared" si="2"/>
        <x:v/>
      </x:c>
      <x:c r="AC49" s="487">
        <x:f t="shared" si="100"/>
        <x:v>0</x:v>
      </x:c>
      <x:c r="AD49" s="356" t="str">
        <x:f t="shared" si="3"/>
        <x:v>OK</x:v>
      </x:c>
      <x:c r="AF49" s="502" t="str">
        <x:f t="shared" si="4"/>
        <x:v/>
      </x:c>
      <x:c r="AG49" s="503">
        <x:f t="shared" si="101"/>
        <x:v>0</x:v>
      </x:c>
      <x:c r="AH49" s="381" t="str">
        <x:f t="shared" si="5"/>
        <x:v>OK</x:v>
      </x:c>
      <x:c r="AI49" s="48"/>
      <x:c r="AJ49" s="221" t="str">
        <x:f t="shared" si="6"/>
        <x:v/>
      </x:c>
      <x:c r="AK49" s="356" t="str">
        <x:f t="shared" si="7"/>
        <x:v/>
      </x:c>
      <x:c r="AL49" s="356" t="str">
        <x:f t="shared" si="8"/>
        <x:v/>
      </x:c>
      <x:c r="AM49" s="356" t="str">
        <x:f t="shared" si="9"/>
        <x:v/>
      </x:c>
      <x:c r="AN49" s="356" t="str">
        <x:f>IF($AM49="","",IF($AM49="도비","OK",IF($AJ49="세입없음","OK",IF($AJ49="세입번호입력","@@",IF(VLOOKUP($AJ49,'4. 특입'!$AF$6:$AG$1000,2,FALSE)='4. 특출'!$AM49,"OK","@@")))))</x:f>
        <x:v/>
      </x:c>
      <x:c r="AO49" s="69"/>
      <x:c r="AP49" s="383"/>
    </x:row>
    <x:row r="50" spans="1:42" ht="80.099999999999994" customHeight="1">
      <x:c r="A50" s="155" t="str">
        <x:f>IF(D50="","",COUNTA($C$6:C50)-COUNTBLANK($C$6:C50)+9)</x:f>
        <x:v/>
      </x:c>
      <x:c r="B50" s="156" t="str">
        <x: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x:f>
        <x:v/>
      </x:c>
      <x:c r="C50" s="156" t="str">
        <x:f>IF(D50="","",IF(OR(D50="교육지원과"),"소방재난본부",VLOOKUP(D50,구분표!$A$3:$C$258,3,)))</x:f>
        <x:v/>
      </x:c>
      <x:c r="D50" s="226"/>
      <x:c r="E50" s="213"/>
      <x:c r="F50" s="388" t="str">
        <x:f t="shared" si="102"/>
        <x:v/>
      </x:c>
      <x:c r="G50" s="388" t="str">
        <x:f t="shared" si="102"/>
        <x:v/>
      </x:c>
      <x:c r="H50" s="213"/>
      <x:c r="I50" s="156" t="str">
        <x:f>IF(H50="","",VLOOKUP($H50,구분표!$K$3:$M$151,2,FALSE))</x:f>
        <x:v/>
      </x:c>
      <x:c r="J50" s="156" t="str">
        <x:f>IF(I50="","",VLOOKUP($H50,구분표!$K$3:$M$151,3,FALSE))</x:f>
        <x:v/>
      </x:c>
      <x:c r="K50" s="233"/>
      <x:c r="L50" s="233"/>
      <x:c r="M50" s="459" t="str">
        <x:f t="shared" si="103"/>
        <x:v/>
      </x:c>
      <x:c r="N50" s="459" t="str">
        <x:f t="shared" si="104"/>
        <x:v/>
      </x:c>
      <x:c r="O50" s="461" t="str">
        <x:f t="shared" si="95"/>
        <x:v/>
      </x:c>
      <x:c r="P50" s="460"/>
      <x:c r="Q50" s="461">
        <x:f t="shared" si="96"/>
        <x:v>0</x:v>
      </x:c>
      <x:c r="R50" s="462"/>
      <x:c r="S50" s="463">
        <x:f t="shared" si="97"/>
        <x:v>0</x:v>
      </x:c>
      <x:c r="T50" s="162" t="str">
        <x:f t="shared" si="98"/>
        <x:v>X</x:v>
      </x:c>
      <x:c r="U50" s="233"/>
      <x:c r="V50" s="224"/>
      <x:c r="W50" s="217"/>
      <x:c r="X50" s="234"/>
      <x:c r="Y50" s="217"/>
      <x:c r="Z50" s="356" t="str">
        <x:f t="shared" si="99"/>
        <x:v/>
      </x:c>
      <x:c r="AA50" s="164"/>
      <x:c r="AB50" s="486" t="str">
        <x:f t="shared" si="2"/>
        <x:v/>
      </x:c>
      <x:c r="AC50" s="487">
        <x:f t="shared" si="100"/>
        <x:v>0</x:v>
      </x:c>
      <x:c r="AD50" s="356" t="str">
        <x:f t="shared" si="3"/>
        <x:v>OK</x:v>
      </x:c>
      <x:c r="AF50" s="502" t="str">
        <x:f t="shared" si="4"/>
        <x:v/>
      </x:c>
      <x:c r="AG50" s="503">
        <x:f t="shared" si="101"/>
        <x:v>0</x:v>
      </x:c>
      <x:c r="AH50" s="381" t="str">
        <x:f t="shared" si="5"/>
        <x:v>OK</x:v>
      </x:c>
      <x:c r="AI50" s="48"/>
      <x:c r="AJ50" s="221" t="str">
        <x:f t="shared" si="6"/>
        <x:v/>
      </x:c>
      <x:c r="AK50" s="356" t="str">
        <x:f t="shared" si="7"/>
        <x:v/>
      </x:c>
      <x:c r="AL50" s="356" t="str">
        <x:f t="shared" si="8"/>
        <x:v/>
      </x:c>
      <x:c r="AM50" s="356" t="str">
        <x:f t="shared" si="9"/>
        <x:v/>
      </x:c>
      <x:c r="AN50" s="356" t="str">
        <x:f>IF($AM50="","",IF($AM50="도비","OK",IF($AJ50="세입없음","OK",IF($AJ50="세입번호입력","@@",IF(VLOOKUP($AJ50,'4. 특입'!$AF$6:$AG$1000,2,FALSE)='4. 특출'!$AM50,"OK","@@")))))</x:f>
        <x:v/>
      </x:c>
      <x:c r="AO50" s="69"/>
      <x:c r="AP50" s="383"/>
    </x:row>
    <x:row r="51" spans="1:42" customHeight="1">
      <x:c r="A51" s="36"/>
      <x:c r="B51" s="59"/>
      <x:c r="C51" s="59"/>
      <x:c r="D51" s="59"/>
      <x:c r="E51" s="59"/>
      <x:c r="F51" s="37"/>
      <x:c r="G51" s="37"/>
      <x:c r="H51" s="38"/>
      <x:c r="I51" s="38"/>
      <x:c r="J51" s="38"/>
      <x:c r="K51" s="38"/>
      <x:c r="L51" s="38"/>
      <x:c r="M51" s="38"/>
      <x:c r="N51" s="38"/>
      <x:c r="O51" s="498"/>
      <x:c r="P51" s="498"/>
      <x:c r="Q51" s="498"/>
      <x:c r="R51" s="499"/>
      <x:c r="S51" s="500"/>
      <x:c r="T51" s="37"/>
      <x:c r="U51" s="60"/>
      <x:c r="V51" s="41"/>
      <x:c r="W51" s="42"/>
      <x:c r="X51" s="40"/>
      <x:c r="Y51" s="40"/>
      <x:c r="Z51" s="37"/>
      <x:c r="AA51" s="44"/>
      <x:c r="AB51" s="498"/>
      <x:c r="AC51" s="498"/>
      <x:c r="AD51" s="37"/>
      <x:c r="AF51" s="504"/>
      <x:c r="AG51" s="504"/>
      <x:c r="AH51" s="70"/>
      <x:c r="AI51" s="37"/>
      <x:c r="AJ51" s="37"/>
      <x:c r="AK51" s="37"/>
      <x:c r="AL51" s="37"/>
      <x:c r="AM51" s="37"/>
      <x:c r="AN51" s="37"/>
      <x:c r="AO51" s="37"/>
      <x:c r="AP51" s="37"/>
    </x:row>
    <x:row r="52" spans="1:42" customHeight="1">
      <x:c r="A52" s="36"/>
      <x:c r="B52" s="59"/>
      <x:c r="C52" s="59"/>
      <x:c r="D52" s="59"/>
      <x:c r="E52" s="59"/>
      <x:c r="F52" s="37"/>
      <x:c r="G52" s="37"/>
      <x:c r="H52" s="38"/>
      <x:c r="I52" s="38"/>
      <x:c r="J52" s="38"/>
      <x:c r="K52" s="38"/>
      <x:c r="L52" s="38"/>
      <x:c r="M52" s="38"/>
      <x:c r="N52" s="38"/>
      <x:c r="O52" s="498"/>
      <x:c r="P52" s="498"/>
      <x:c r="Q52" s="498"/>
      <x:c r="R52" s="499"/>
      <x:c r="S52" s="500"/>
      <x:c r="T52" s="37"/>
      <x:c r="U52" s="60"/>
      <x:c r="V52" s="41"/>
      <x:c r="W52" s="42"/>
      <x:c r="X52" s="40"/>
      <x:c r="Y52" s="40"/>
      <x:c r="Z52" s="37"/>
      <x:c r="AA52" s="44"/>
      <x:c r="AB52" s="498"/>
      <x:c r="AC52" s="498"/>
      <x:c r="AD52" s="37"/>
      <x:c r="AF52" s="504"/>
      <x:c r="AG52" s="504"/>
      <x:c r="AH52" s="70"/>
      <x:c r="AI52" s="37"/>
      <x:c r="AJ52" s="37"/>
      <x:c r="AK52" s="37"/>
      <x:c r="AL52" s="37"/>
      <x:c r="AM52" s="37"/>
      <x:c r="AN52" s="37"/>
      <x:c r="AO52" s="37"/>
      <x:c r="AP52" s="37"/>
    </x:row>
    <x:row r="53" spans="1:42" customHeight="1">
      <x:c r="A53" s="36"/>
      <x:c r="B53" s="59"/>
      <x:c r="C53" s="59"/>
      <x:c r="D53" s="59"/>
      <x:c r="E53" s="59"/>
      <x:c r="F53" s="37"/>
      <x:c r="G53" s="37"/>
      <x:c r="H53" s="38"/>
      <x:c r="I53" s="38"/>
      <x:c r="J53" s="38"/>
      <x:c r="K53" s="38"/>
      <x:c r="L53" s="38"/>
      <x:c r="M53" s="38"/>
      <x:c r="N53" s="38"/>
      <x:c r="O53" s="498"/>
      <x:c r="P53" s="498"/>
      <x:c r="Q53" s="498"/>
      <x:c r="R53" s="499"/>
      <x:c r="S53" s="500"/>
      <x:c r="T53" s="37"/>
      <x:c r="U53" s="60"/>
      <x:c r="V53" s="41"/>
      <x:c r="W53" s="42"/>
      <x:c r="X53" s="40"/>
      <x:c r="Y53" s="40"/>
      <x:c r="Z53" s="37"/>
      <x:c r="AA53" s="44"/>
      <x:c r="AB53" s="498"/>
      <x:c r="AC53" s="498"/>
      <x:c r="AD53" s="37"/>
      <x:c r="AF53" s="504"/>
      <x:c r="AG53" s="504"/>
      <x:c r="AH53" s="70"/>
      <x:c r="AI53" s="37"/>
      <x:c r="AJ53" s="37"/>
      <x:c r="AK53" s="37"/>
      <x:c r="AL53" s="37"/>
      <x:c r="AM53" s="37"/>
      <x:c r="AN53" s="37"/>
      <x:c r="AO53" s="37"/>
      <x:c r="AP53" s="37"/>
    </x:row>
    <x:row r="54" spans="1:42" customHeight="1">
      <x:c r="A54" s="36"/>
      <x:c r="B54" s="59"/>
      <x:c r="C54" s="59"/>
      <x:c r="D54" s="59"/>
      <x:c r="E54" s="59"/>
      <x:c r="F54" s="37"/>
      <x:c r="G54" s="37"/>
      <x:c r="H54" s="38"/>
      <x:c r="I54" s="38"/>
      <x:c r="J54" s="38"/>
      <x:c r="K54" s="38"/>
      <x:c r="L54" s="38"/>
      <x:c r="M54" s="38"/>
      <x:c r="N54" s="38"/>
      <x:c r="O54" s="498"/>
      <x:c r="P54" s="498"/>
      <x:c r="Q54" s="498"/>
      <x:c r="R54" s="499"/>
      <x:c r="S54" s="500"/>
      <x:c r="T54" s="37"/>
      <x:c r="U54" s="60"/>
      <x:c r="V54" s="41"/>
      <x:c r="W54" s="42"/>
      <x:c r="X54" s="40"/>
      <x:c r="Y54" s="40"/>
      <x:c r="Z54" s="37"/>
      <x:c r="AA54" s="44"/>
      <x:c r="AB54" s="498"/>
      <x:c r="AC54" s="498"/>
      <x:c r="AD54" s="37"/>
      <x:c r="AF54" s="504"/>
      <x:c r="AG54" s="504"/>
      <x:c r="AH54" s="70"/>
      <x:c r="AI54" s="37"/>
      <x:c r="AJ54" s="37"/>
      <x:c r="AK54" s="37"/>
      <x:c r="AL54" s="37"/>
      <x:c r="AM54" s="37"/>
      <x:c r="AN54" s="37"/>
      <x:c r="AO54" s="37"/>
      <x:c r="AP54" s="37"/>
    </x:row>
    <x:row r="55" spans="1:42" customHeight="1">
      <x:c r="A55" s="36"/>
      <x:c r="B55" s="59"/>
      <x:c r="C55" s="59"/>
      <x:c r="D55" s="59"/>
      <x:c r="E55" s="59"/>
      <x:c r="F55" s="37"/>
      <x:c r="G55" s="37"/>
      <x:c r="H55" s="38"/>
      <x:c r="I55" s="38"/>
      <x:c r="J55" s="38"/>
      <x:c r="K55" s="38"/>
      <x:c r="L55" s="38"/>
      <x:c r="M55" s="38"/>
      <x:c r="N55" s="38"/>
      <x:c r="O55" s="498"/>
      <x:c r="P55" s="498"/>
      <x:c r="Q55" s="498"/>
      <x:c r="R55" s="499"/>
      <x:c r="S55" s="500"/>
      <x:c r="T55" s="37"/>
      <x:c r="U55" s="60"/>
      <x:c r="V55" s="41"/>
      <x:c r="W55" s="42"/>
      <x:c r="X55" s="40"/>
      <x:c r="Y55" s="40"/>
      <x:c r="Z55" s="37"/>
      <x:c r="AA55" s="44"/>
      <x:c r="AB55" s="498"/>
      <x:c r="AC55" s="498"/>
      <x:c r="AD55" s="37"/>
      <x:c r="AF55" s="504"/>
      <x:c r="AG55" s="504"/>
      <x:c r="AH55" s="70"/>
      <x:c r="AI55" s="37"/>
      <x:c r="AJ55" s="37"/>
      <x:c r="AK55" s="37"/>
      <x:c r="AL55" s="37"/>
      <x:c r="AM55" s="37"/>
      <x:c r="AN55" s="37"/>
      <x:c r="AO55" s="37"/>
      <x:c r="AP55" s="37"/>
    </x:row>
    <x:row r="56" spans="1:42" customHeight="1">
      <x:c r="A56" s="36"/>
      <x:c r="B56" s="59"/>
      <x:c r="C56" s="59"/>
      <x:c r="D56" s="59"/>
      <x:c r="E56" s="59"/>
      <x:c r="F56" s="37"/>
      <x:c r="G56" s="37"/>
      <x:c r="H56" s="38"/>
      <x:c r="I56" s="38"/>
      <x:c r="J56" s="38"/>
      <x:c r="K56" s="38"/>
      <x:c r="L56" s="38"/>
      <x:c r="M56" s="38"/>
      <x:c r="N56" s="38"/>
      <x:c r="O56" s="498"/>
      <x:c r="P56" s="498"/>
      <x:c r="Q56" s="498"/>
      <x:c r="R56" s="499"/>
      <x:c r="S56" s="500"/>
      <x:c r="T56" s="37"/>
      <x:c r="U56" s="60"/>
      <x:c r="V56" s="41"/>
      <x:c r="W56" s="42"/>
      <x:c r="X56" s="40"/>
      <x:c r="Y56" s="40"/>
      <x:c r="Z56" s="37"/>
      <x:c r="AA56" s="44"/>
      <x:c r="AB56" s="498"/>
      <x:c r="AC56" s="498"/>
      <x:c r="AD56" s="37"/>
      <x:c r="AF56" s="504"/>
      <x:c r="AG56" s="504"/>
      <x:c r="AH56" s="70"/>
      <x:c r="AI56" s="37"/>
      <x:c r="AJ56" s="37"/>
      <x:c r="AK56" s="37"/>
      <x:c r="AL56" s="37"/>
      <x:c r="AM56" s="37"/>
      <x:c r="AN56" s="37"/>
      <x:c r="AO56" s="37"/>
      <x:c r="AP56" s="37"/>
    </x:row>
    <x:row r="57" spans="1:42" customHeight="1">
      <x:c r="A57" s="36"/>
      <x:c r="B57" s="59"/>
      <x:c r="C57" s="59"/>
      <x:c r="D57" s="59"/>
      <x:c r="E57" s="59"/>
      <x:c r="F57" s="37"/>
      <x:c r="G57" s="37"/>
      <x:c r="H57" s="38"/>
      <x:c r="I57" s="38"/>
      <x:c r="J57" s="38"/>
      <x:c r="K57" s="38"/>
      <x:c r="L57" s="38"/>
      <x:c r="M57" s="38"/>
      <x:c r="N57" s="38"/>
      <x:c r="O57" s="498"/>
      <x:c r="P57" s="498"/>
      <x:c r="Q57" s="498"/>
      <x:c r="R57" s="499"/>
      <x:c r="S57" s="500"/>
      <x:c r="T57" s="37"/>
      <x:c r="U57" s="60"/>
      <x:c r="V57" s="41"/>
      <x:c r="W57" s="42"/>
      <x:c r="X57" s="40"/>
      <x:c r="Y57" s="40"/>
      <x:c r="Z57" s="37"/>
      <x:c r="AA57" s="44"/>
      <x:c r="AB57" s="498"/>
      <x:c r="AC57" s="498"/>
      <x:c r="AD57" s="37"/>
      <x:c r="AF57" s="504"/>
      <x:c r="AG57" s="504"/>
      <x:c r="AH57" s="70"/>
      <x:c r="AI57" s="37"/>
      <x:c r="AJ57" s="37"/>
      <x:c r="AK57" s="37"/>
      <x:c r="AL57" s="37"/>
      <x:c r="AM57" s="37"/>
      <x:c r="AN57" s="37"/>
      <x:c r="AO57" s="37"/>
      <x:c r="AP57" s="37"/>
    </x:row>
    <x:row r="58" spans="1:42" customHeight="1">
      <x:c r="A58" s="36"/>
      <x:c r="B58" s="59"/>
      <x:c r="C58" s="59"/>
      <x:c r="D58" s="59"/>
      <x:c r="E58" s="59"/>
      <x:c r="F58" s="37"/>
      <x:c r="G58" s="37"/>
      <x:c r="H58" s="38"/>
      <x:c r="I58" s="38"/>
      <x:c r="J58" s="38"/>
      <x:c r="K58" s="38"/>
      <x:c r="L58" s="38"/>
      <x:c r="M58" s="38"/>
      <x:c r="N58" s="38"/>
      <x:c r="O58" s="498"/>
      <x:c r="P58" s="498"/>
      <x:c r="Q58" s="498"/>
      <x:c r="R58" s="499"/>
      <x:c r="S58" s="500"/>
      <x:c r="T58" s="37"/>
      <x:c r="U58" s="60"/>
      <x:c r="V58" s="41"/>
      <x:c r="W58" s="42"/>
      <x:c r="X58" s="40"/>
      <x:c r="Y58" s="40"/>
      <x:c r="Z58" s="37"/>
      <x:c r="AA58" s="44"/>
      <x:c r="AB58" s="498"/>
      <x:c r="AC58" s="498"/>
      <x:c r="AD58" s="37"/>
      <x:c r="AF58" s="504"/>
      <x:c r="AG58" s="504"/>
      <x:c r="AH58" s="70"/>
      <x:c r="AI58" s="37"/>
      <x:c r="AJ58" s="37"/>
      <x:c r="AK58" s="37"/>
      <x:c r="AL58" s="37"/>
      <x:c r="AM58" s="37"/>
      <x:c r="AN58" s="37"/>
      <x:c r="AO58" s="37"/>
      <x:c r="AP58" s="37"/>
    </x:row>
    <x:row r="59" spans="1:42" customHeight="1">
      <x:c r="A59" s="36"/>
      <x:c r="B59" s="59"/>
      <x:c r="C59" s="59"/>
      <x:c r="D59" s="59"/>
      <x:c r="E59" s="59"/>
      <x:c r="F59" s="37"/>
      <x:c r="G59" s="37"/>
      <x:c r="H59" s="38"/>
      <x:c r="I59" s="38"/>
      <x:c r="J59" s="38"/>
      <x:c r="K59" s="38"/>
      <x:c r="L59" s="38"/>
      <x:c r="M59" s="38"/>
      <x:c r="N59" s="38"/>
      <x:c r="O59" s="498"/>
      <x:c r="P59" s="498"/>
      <x:c r="Q59" s="498"/>
      <x:c r="R59" s="498"/>
      <x:c r="S59" s="500"/>
      <x:c r="T59" s="37"/>
      <x:c r="U59" s="60"/>
      <x:c r="V59" s="41"/>
      <x:c r="W59" s="42"/>
      <x:c r="X59" s="40"/>
      <x:c r="Y59" s="40"/>
      <x:c r="Z59" s="37"/>
      <x:c r="AA59" s="44"/>
      <x:c r="AB59" s="498"/>
      <x:c r="AC59" s="498"/>
      <x:c r="AD59" s="37"/>
      <x:c r="AF59" s="504"/>
      <x:c r="AG59" s="504"/>
      <x:c r="AH59" s="70"/>
      <x:c r="AI59" s="37"/>
      <x:c r="AJ59" s="37"/>
      <x:c r="AK59" s="37"/>
      <x:c r="AL59" s="37"/>
      <x:c r="AM59" s="37"/>
      <x:c r="AN59" s="37"/>
      <x:c r="AO59" s="37"/>
      <x:c r="AP59" s="37"/>
    </x:row>
    <x:row r="60" spans="1:42" customHeight="1">
      <x:c r="A60" s="36"/>
      <x:c r="B60" s="59"/>
      <x:c r="C60" s="59"/>
      <x:c r="D60" s="59"/>
      <x:c r="E60" s="59"/>
      <x:c r="F60" s="37"/>
      <x:c r="G60" s="37"/>
      <x:c r="H60" s="38"/>
      <x:c r="I60" s="38"/>
      <x:c r="J60" s="38"/>
      <x:c r="K60" s="38"/>
      <x:c r="L60" s="38"/>
      <x:c r="M60" s="38"/>
      <x:c r="N60" s="38"/>
      <x:c r="O60" s="498"/>
      <x:c r="P60" s="498"/>
      <x:c r="Q60" s="498"/>
      <x:c r="R60" s="498"/>
      <x:c r="S60" s="500"/>
      <x:c r="T60" s="37"/>
      <x:c r="U60" s="60"/>
      <x:c r="V60" s="41"/>
      <x:c r="W60" s="42"/>
      <x:c r="X60" s="40"/>
      <x:c r="Y60" s="40"/>
      <x:c r="Z60" s="37"/>
      <x:c r="AA60" s="44"/>
      <x:c r="AB60" s="498"/>
      <x:c r="AC60" s="498"/>
      <x:c r="AD60" s="37"/>
      <x:c r="AF60" s="504"/>
      <x:c r="AG60" s="504"/>
      <x:c r="AH60" s="70"/>
      <x:c r="AI60" s="37"/>
      <x:c r="AJ60" s="37"/>
      <x:c r="AK60" s="37"/>
      <x:c r="AL60" s="37"/>
      <x:c r="AM60" s="37"/>
      <x:c r="AN60" s="37"/>
      <x:c r="AO60" s="37"/>
      <x:c r="AP60" s="37"/>
    </x:row>
    <x:row r="61" spans="1:42" customHeight="1">
      <x:c r="A61" s="36"/>
      <x:c r="B61" s="59"/>
      <x:c r="C61" s="59"/>
      <x:c r="D61" s="59"/>
      <x:c r="E61" s="59"/>
      <x:c r="F61" s="37"/>
      <x:c r="G61" s="37"/>
      <x:c r="H61" s="38"/>
      <x:c r="I61" s="38"/>
      <x:c r="J61" s="38"/>
      <x:c r="K61" s="38"/>
      <x:c r="L61" s="38"/>
      <x:c r="M61" s="38"/>
      <x:c r="N61" s="38"/>
      <x:c r="O61" s="498"/>
      <x:c r="P61" s="498"/>
      <x:c r="Q61" s="498"/>
      <x:c r="R61" s="498"/>
      <x:c r="S61" s="500"/>
      <x:c r="T61" s="37"/>
      <x:c r="U61" s="60"/>
      <x:c r="V61" s="41"/>
      <x:c r="W61" s="42"/>
      <x:c r="X61" s="40"/>
      <x:c r="Y61" s="40"/>
      <x:c r="Z61" s="37"/>
      <x:c r="AA61" s="44"/>
      <x:c r="AB61" s="498"/>
      <x:c r="AC61" s="498"/>
      <x:c r="AD61" s="37"/>
      <x:c r="AF61" s="504"/>
      <x:c r="AG61" s="504"/>
      <x:c r="AH61" s="70"/>
      <x:c r="AI61" s="37"/>
      <x:c r="AJ61" s="37"/>
      <x:c r="AK61" s="37"/>
      <x:c r="AL61" s="37"/>
      <x:c r="AM61" s="37"/>
      <x:c r="AN61" s="37"/>
      <x:c r="AO61" s="37"/>
      <x:c r="AP61" s="37"/>
    </x:row>
    <x:row r="62" spans="1:42" customHeight="1">
      <x:c r="A62" s="36"/>
      <x:c r="B62" s="59"/>
      <x:c r="C62" s="59"/>
      <x:c r="D62" s="59"/>
      <x:c r="E62" s="59"/>
      <x:c r="F62" s="37"/>
      <x:c r="G62" s="37"/>
      <x:c r="H62" s="38"/>
      <x:c r="I62" s="38"/>
      <x:c r="J62" s="38"/>
      <x:c r="K62" s="38"/>
      <x:c r="L62" s="38"/>
      <x:c r="M62" s="38"/>
      <x:c r="N62" s="38"/>
      <x:c r="O62" s="498"/>
      <x:c r="P62" s="498"/>
      <x:c r="Q62" s="498"/>
      <x:c r="R62" s="498"/>
      <x:c r="S62" s="500"/>
      <x:c r="T62" s="37"/>
      <x:c r="U62" s="60"/>
      <x:c r="V62" s="41"/>
      <x:c r="W62" s="42"/>
      <x:c r="X62" s="40"/>
      <x:c r="Y62" s="40"/>
      <x:c r="Z62" s="37"/>
      <x:c r="AA62" s="44"/>
      <x:c r="AB62" s="498"/>
      <x:c r="AC62" s="498"/>
      <x:c r="AD62" s="37"/>
      <x:c r="AF62" s="504"/>
      <x:c r="AG62" s="504"/>
      <x:c r="AH62" s="70"/>
      <x:c r="AI62" s="37"/>
      <x:c r="AJ62" s="37"/>
      <x:c r="AK62" s="37"/>
      <x:c r="AL62" s="37"/>
      <x:c r="AM62" s="37"/>
      <x:c r="AN62" s="37"/>
      <x:c r="AO62" s="37"/>
      <x:c r="AP62" s="37"/>
    </x:row>
    <x:row r="63" spans="1:42" customHeight="1">
      <x:c r="A63" s="36"/>
      <x:c r="B63" s="59"/>
      <x:c r="C63" s="59"/>
      <x:c r="D63" s="59"/>
      <x:c r="E63" s="59"/>
      <x:c r="F63" s="37"/>
      <x:c r="G63" s="37"/>
      <x:c r="H63" s="38"/>
      <x:c r="I63" s="38"/>
      <x:c r="J63" s="38"/>
      <x:c r="K63" s="38"/>
      <x:c r="L63" s="38"/>
      <x:c r="M63" s="38"/>
      <x:c r="N63" s="38"/>
      <x:c r="O63" s="498"/>
      <x:c r="P63" s="498"/>
      <x:c r="Q63" s="498"/>
      <x:c r="R63" s="498"/>
      <x:c r="S63" s="500"/>
      <x:c r="T63" s="37"/>
      <x:c r="U63" s="60"/>
      <x:c r="V63" s="41"/>
      <x:c r="W63" s="42"/>
      <x:c r="X63" s="40"/>
      <x:c r="Y63" s="40"/>
      <x:c r="Z63" s="37"/>
      <x:c r="AA63" s="44"/>
      <x:c r="AB63" s="498"/>
      <x:c r="AC63" s="498"/>
      <x:c r="AD63" s="37"/>
      <x:c r="AF63" s="504"/>
      <x:c r="AG63" s="504"/>
      <x:c r="AH63" s="70"/>
      <x:c r="AI63" s="37"/>
      <x:c r="AJ63" s="37"/>
      <x:c r="AK63" s="37"/>
      <x:c r="AL63" s="37"/>
      <x:c r="AM63" s="37"/>
      <x:c r="AN63" s="37"/>
      <x:c r="AO63" s="37"/>
      <x:c r="AP63" s="37"/>
    </x:row>
    <x:row r="64" spans="1:42" customHeight="1">
      <x:c r="A64" s="36"/>
      <x:c r="B64" s="59"/>
      <x:c r="C64" s="59"/>
      <x:c r="D64" s="59"/>
      <x:c r="E64" s="59"/>
      <x:c r="F64" s="37"/>
      <x:c r="G64" s="37"/>
      <x:c r="H64" s="38"/>
      <x:c r="I64" s="38"/>
      <x:c r="J64" s="38"/>
      <x:c r="K64" s="38"/>
      <x:c r="L64" s="38"/>
      <x:c r="M64" s="38"/>
      <x:c r="N64" s="38"/>
      <x:c r="O64" s="498"/>
      <x:c r="P64" s="498"/>
      <x:c r="Q64" s="498"/>
      <x:c r="R64" s="498"/>
      <x:c r="S64" s="500"/>
      <x:c r="T64" s="37"/>
      <x:c r="U64" s="40"/>
      <x:c r="V64" s="41"/>
      <x:c r="W64" s="42"/>
      <x:c r="X64" s="40"/>
      <x:c r="Y64" s="40"/>
      <x:c r="Z64" s="37"/>
      <x:c r="AA64" s="44"/>
      <x:c r="AB64" s="498"/>
      <x:c r="AC64" s="498"/>
      <x:c r="AD64" s="37"/>
      <x:c r="AF64" s="504"/>
      <x:c r="AG64" s="504"/>
      <x:c r="AH64" s="70"/>
      <x:c r="AI64" s="37"/>
      <x:c r="AJ64" s="37"/>
      <x:c r="AK64" s="37"/>
      <x:c r="AL64" s="37"/>
      <x:c r="AM64" s="37"/>
      <x:c r="AN64" s="37"/>
      <x:c r="AO64" s="37"/>
      <x:c r="AP64" s="37"/>
    </x:row>
    <x:row r="65" spans="1:42" customHeight="1">
      <x:c r="A65" s="36"/>
      <x:c r="B65" s="59"/>
      <x:c r="C65" s="59"/>
      <x:c r="D65" s="59"/>
      <x:c r="E65" s="59"/>
      <x:c r="F65" s="37"/>
      <x:c r="G65" s="37"/>
      <x:c r="H65" s="38"/>
      <x:c r="I65" s="38"/>
      <x:c r="J65" s="38"/>
      <x:c r="K65" s="38"/>
      <x:c r="L65" s="38"/>
      <x:c r="M65" s="38"/>
      <x:c r="N65" s="38"/>
      <x:c r="O65" s="498"/>
      <x:c r="P65" s="498"/>
      <x:c r="Q65" s="498"/>
      <x:c r="R65" s="498"/>
      <x:c r="S65" s="500"/>
      <x:c r="T65" s="37"/>
      <x:c r="U65" s="40"/>
      <x:c r="V65" s="41"/>
      <x:c r="W65" s="42"/>
      <x:c r="X65" s="40"/>
      <x:c r="Y65" s="40"/>
      <x:c r="Z65" s="37"/>
      <x:c r="AA65" s="44"/>
      <x:c r="AB65" s="498"/>
      <x:c r="AC65" s="498"/>
      <x:c r="AD65" s="37"/>
      <x:c r="AF65" s="504"/>
      <x:c r="AG65" s="504"/>
      <x:c r="AH65" s="70"/>
      <x:c r="AI65" s="37"/>
      <x:c r="AJ65" s="37"/>
      <x:c r="AK65" s="37"/>
      <x:c r="AL65" s="37"/>
      <x:c r="AM65" s="37"/>
      <x:c r="AN65" s="37"/>
      <x:c r="AO65" s="37"/>
      <x:c r="AP65" s="37"/>
    </x:row>
    <x:row r="66" spans="1:42" customHeight="1">
      <x:c r="A66" s="36"/>
      <x:c r="B66" s="59"/>
      <x:c r="C66" s="59"/>
      <x:c r="D66" s="59"/>
      <x:c r="E66" s="59"/>
      <x:c r="F66" s="37"/>
      <x:c r="G66" s="37"/>
      <x:c r="H66" s="38"/>
      <x:c r="I66" s="38"/>
      <x:c r="J66" s="38"/>
      <x:c r="K66" s="38"/>
      <x:c r="L66" s="38"/>
      <x:c r="M66" s="38"/>
      <x:c r="N66" s="38"/>
      <x:c r="O66" s="498"/>
      <x:c r="P66" s="498"/>
      <x:c r="Q66" s="498"/>
      <x:c r="R66" s="498"/>
      <x:c r="S66" s="500"/>
      <x:c r="T66" s="37"/>
      <x:c r="U66" s="40"/>
      <x:c r="V66" s="41"/>
      <x:c r="W66" s="42"/>
      <x:c r="X66" s="40"/>
      <x:c r="Y66" s="40"/>
      <x:c r="Z66" s="37"/>
      <x:c r="AA66" s="44"/>
      <x:c r="AB66" s="498"/>
      <x:c r="AC66" s="498"/>
      <x:c r="AD66" s="37"/>
      <x:c r="AF66" s="504"/>
      <x:c r="AG66" s="504"/>
      <x:c r="AH66" s="70"/>
      <x:c r="AI66" s="37"/>
      <x:c r="AJ66" s="37"/>
      <x:c r="AK66" s="37"/>
      <x:c r="AL66" s="37"/>
      <x:c r="AM66" s="37"/>
      <x:c r="AN66" s="37"/>
      <x:c r="AO66" s="37"/>
      <x:c r="AP66" s="37"/>
    </x:row>
    <x:row r="67" spans="1:42" customHeight="1">
      <x:c r="A67" s="36"/>
      <x:c r="B67" s="59"/>
      <x:c r="C67" s="59"/>
      <x:c r="D67" s="59"/>
      <x:c r="E67" s="59"/>
      <x:c r="F67" s="37"/>
      <x:c r="G67" s="37"/>
      <x:c r="H67" s="38"/>
      <x:c r="I67" s="38"/>
      <x:c r="J67" s="38"/>
      <x:c r="K67" s="38"/>
      <x:c r="L67" s="38"/>
      <x:c r="M67" s="38"/>
      <x:c r="N67" s="38"/>
      <x:c r="O67" s="498"/>
      <x:c r="P67" s="498"/>
      <x:c r="Q67" s="498"/>
      <x:c r="R67" s="498"/>
      <x:c r="S67" s="500"/>
      <x:c r="T67" s="37"/>
      <x:c r="U67" s="40"/>
      <x:c r="V67" s="41"/>
      <x:c r="W67" s="42"/>
      <x:c r="X67" s="40"/>
      <x:c r="Y67" s="40"/>
      <x:c r="Z67" s="37"/>
      <x:c r="AA67" s="44"/>
      <x:c r="AB67" s="498"/>
      <x:c r="AC67" s="498"/>
      <x:c r="AD67" s="37"/>
      <x:c r="AF67" s="504"/>
      <x:c r="AG67" s="504"/>
      <x:c r="AH67" s="70"/>
      <x:c r="AI67" s="37"/>
      <x:c r="AJ67" s="37"/>
      <x:c r="AK67" s="37"/>
      <x:c r="AL67" s="37"/>
      <x:c r="AM67" s="37"/>
      <x:c r="AN67" s="37"/>
      <x:c r="AO67" s="37"/>
      <x:c r="AP67" s="37"/>
    </x:row>
    <x:row r="68" spans="1:42" customHeight="1">
      <x:c r="A68" s="54"/>
      <x:c r="B68" s="51"/>
      <x:c r="C68" s="51"/>
      <x:c r="D68" s="51"/>
      <x:c r="E68" s="51"/>
      <x:c r="F68" s="44"/>
      <x:c r="G68" s="44"/>
      <x:c r="H68" s="55"/>
      <x:c r="I68" s="55"/>
      <x:c r="J68" s="55"/>
      <x:c r="K68" s="55"/>
      <x:c r="L68" s="55"/>
      <x:c r="M68" s="55"/>
      <x:c r="N68" s="55"/>
      <x:c r="O68" s="489"/>
      <x:c r="P68" s="489"/>
      <x:c r="Q68" s="489"/>
      <x:c r="R68" s="489"/>
      <x:c r="S68" s="501"/>
      <x:c r="T68" s="44"/>
      <x:c r="U68" s="56"/>
      <x:c r="V68" s="57"/>
      <x:c r="W68" s="58"/>
      <x:c r="X68" s="56"/>
      <x:c r="Y68" s="56"/>
      <x:c r="Z68" s="44"/>
      <x:c r="AA68" s="44"/>
      <x:c r="AB68" s="498"/>
      <x:c r="AC68" s="498"/>
      <x:c r="AD68" s="37"/>
      <x:c r="AF68" s="504"/>
      <x:c r="AG68" s="504"/>
      <x:c r="AH68" s="70"/>
      <x:c r="AI68" s="44"/>
      <x:c r="AJ68" s="44"/>
      <x:c r="AK68" s="44"/>
      <x:c r="AL68" s="44"/>
      <x:c r="AM68" s="37"/>
      <x:c r="AN68" s="37"/>
      <x:c r="AO68" s="44"/>
      <x:c r="AP68" s="44"/>
    </x:row>
    <x:row r="69" spans="1:42" customHeight="1">
      <x:c r="A69" s="54"/>
      <x:c r="B69" s="51"/>
      <x:c r="C69" s="51"/>
      <x:c r="D69" s="51"/>
      <x:c r="E69" s="51"/>
      <x:c r="F69" s="44"/>
      <x:c r="G69" s="44"/>
      <x:c r="H69" s="55"/>
      <x:c r="I69" s="55"/>
      <x:c r="J69" s="55"/>
      <x:c r="K69" s="55"/>
      <x:c r="L69" s="55"/>
      <x:c r="M69" s="55"/>
      <x:c r="N69" s="55"/>
      <x:c r="O69" s="489"/>
      <x:c r="P69" s="489"/>
      <x:c r="Q69" s="489"/>
      <x:c r="R69" s="489"/>
      <x:c r="S69" s="501"/>
      <x:c r="T69" s="44"/>
      <x:c r="U69" s="56"/>
      <x:c r="V69" s="57"/>
      <x:c r="W69" s="58"/>
      <x:c r="X69" s="56"/>
      <x:c r="Y69" s="56"/>
      <x:c r="Z69" s="44"/>
      <x:c r="AA69" s="44"/>
      <x:c r="AB69" s="498"/>
      <x:c r="AC69" s="498"/>
      <x:c r="AD69" s="37"/>
      <x:c r="AF69" s="504"/>
      <x:c r="AG69" s="504"/>
      <x:c r="AH69" s="70"/>
      <x:c r="AI69" s="44"/>
      <x:c r="AJ69" s="44"/>
      <x:c r="AK69" s="44"/>
      <x:c r="AL69" s="44"/>
      <x:c r="AM69" s="37"/>
      <x:c r="AN69" s="37"/>
      <x:c r="AO69" s="44"/>
      <x:c r="AP69" s="44"/>
    </x:row>
    <x:row r="70" spans="1:42" customHeight="1">
      <x:c r="A70" s="54"/>
      <x:c r="B70" s="51"/>
      <x:c r="C70" s="51"/>
      <x:c r="D70" s="51"/>
      <x:c r="E70" s="51"/>
      <x:c r="F70" s="44"/>
      <x:c r="G70" s="44"/>
      <x:c r="H70" s="55"/>
      <x:c r="I70" s="55"/>
      <x:c r="J70" s="55"/>
      <x:c r="K70" s="55"/>
      <x:c r="L70" s="55"/>
      <x:c r="M70" s="55"/>
      <x:c r="N70" s="55"/>
      <x:c r="O70" s="489"/>
      <x:c r="P70" s="489"/>
      <x:c r="Q70" s="489"/>
      <x:c r="R70" s="489"/>
      <x:c r="S70" s="501"/>
      <x:c r="T70" s="44"/>
      <x:c r="U70" s="56"/>
      <x:c r="V70" s="57"/>
      <x:c r="W70" s="58"/>
      <x:c r="X70" s="56"/>
      <x:c r="Y70" s="56"/>
      <x:c r="Z70" s="44"/>
      <x:c r="AA70" s="44"/>
      <x:c r="AB70" s="498"/>
      <x:c r="AC70" s="498"/>
      <x:c r="AD70" s="37"/>
      <x:c r="AF70" s="504"/>
      <x:c r="AG70" s="504"/>
      <x:c r="AH70" s="70"/>
      <x:c r="AI70" s="44"/>
      <x:c r="AJ70" s="44"/>
      <x:c r="AK70" s="44"/>
      <x:c r="AL70" s="44"/>
      <x:c r="AM70" s="37"/>
      <x:c r="AN70" s="37"/>
      <x:c r="AO70" s="44"/>
      <x:c r="AP70" s="44"/>
    </x:row>
    <x:row r="71" spans="1:42" customHeight="1">
      <x:c r="A71" s="54"/>
      <x:c r="B71" s="51"/>
      <x:c r="C71" s="51"/>
      <x:c r="D71" s="51"/>
      <x:c r="E71" s="51"/>
      <x:c r="F71" s="44"/>
      <x:c r="G71" s="44"/>
      <x:c r="H71" s="55"/>
      <x:c r="I71" s="55"/>
      <x:c r="J71" s="55"/>
      <x:c r="K71" s="55"/>
      <x:c r="L71" s="55"/>
      <x:c r="M71" s="55"/>
      <x:c r="N71" s="55"/>
      <x:c r="O71" s="489"/>
      <x:c r="P71" s="489"/>
      <x:c r="Q71" s="489"/>
      <x:c r="R71" s="489"/>
      <x:c r="S71" s="501"/>
      <x:c r="T71" s="44"/>
      <x:c r="U71" s="56"/>
      <x:c r="V71" s="57"/>
      <x:c r="W71" s="58"/>
      <x:c r="X71" s="56"/>
      <x:c r="Y71" s="56"/>
      <x:c r="Z71" s="44"/>
      <x:c r="AA71" s="44"/>
      <x:c r="AB71" s="498"/>
      <x:c r="AC71" s="498"/>
      <x:c r="AD71" s="37"/>
      <x:c r="AF71" s="504"/>
      <x:c r="AG71" s="504"/>
      <x:c r="AH71" s="70"/>
      <x:c r="AI71" s="44"/>
      <x:c r="AJ71" s="44"/>
      <x:c r="AK71" s="44"/>
      <x:c r="AL71" s="44"/>
      <x:c r="AM71" s="37"/>
      <x:c r="AN71" s="37"/>
      <x:c r="AO71" s="44"/>
      <x:c r="AP71" s="44"/>
    </x:row>
    <x:row r="72" spans="1:42" customHeight="1">
      <x:c r="A72" s="54"/>
      <x:c r="B72" s="51"/>
      <x:c r="C72" s="51"/>
      <x:c r="D72" s="51"/>
      <x:c r="E72" s="51"/>
      <x:c r="F72" s="44"/>
      <x:c r="G72" s="44"/>
      <x:c r="H72" s="55"/>
      <x:c r="I72" s="55"/>
      <x:c r="J72" s="55"/>
      <x:c r="K72" s="55"/>
      <x:c r="L72" s="55"/>
      <x:c r="M72" s="55"/>
      <x:c r="N72" s="55"/>
      <x:c r="O72" s="489"/>
      <x:c r="P72" s="489"/>
      <x:c r="Q72" s="489"/>
      <x:c r="R72" s="489"/>
      <x:c r="S72" s="501"/>
      <x:c r="T72" s="44"/>
      <x:c r="U72" s="56"/>
      <x:c r="V72" s="57"/>
      <x:c r="W72" s="58"/>
      <x:c r="X72" s="56"/>
      <x:c r="Y72" s="56"/>
      <x:c r="Z72" s="44"/>
      <x:c r="AA72" s="44"/>
      <x:c r="AB72" s="498"/>
      <x:c r="AC72" s="498"/>
      <x:c r="AD72" s="37"/>
      <x:c r="AF72" s="498"/>
      <x:c r="AG72" s="489"/>
      <x:c r="AH72" s="44"/>
      <x:c r="AI72" s="44"/>
      <x:c r="AJ72" s="44"/>
      <x:c r="AK72" s="44"/>
      <x:c r="AL72" s="44"/>
      <x:c r="AM72" s="37"/>
      <x:c r="AN72" s="37"/>
      <x:c r="AO72" s="44"/>
      <x:c r="AP72" s="44"/>
    </x:row>
    <x:row r="73" spans="1:42" customHeight="1">
      <x:c r="A73" s="54"/>
      <x:c r="B73" s="51"/>
      <x:c r="C73" s="51"/>
      <x:c r="D73" s="51"/>
      <x:c r="E73" s="51"/>
      <x:c r="F73" s="44"/>
      <x:c r="G73" s="44"/>
      <x:c r="H73" s="55"/>
      <x:c r="I73" s="55"/>
      <x:c r="J73" s="55"/>
      <x:c r="K73" s="55"/>
      <x:c r="L73" s="55"/>
      <x:c r="M73" s="55"/>
      <x:c r="N73" s="55"/>
      <x:c r="O73" s="489"/>
      <x:c r="P73" s="489"/>
      <x:c r="Q73" s="489"/>
      <x:c r="R73" s="489"/>
      <x:c r="S73" s="501"/>
      <x:c r="T73" s="44"/>
      <x:c r="U73" s="56"/>
      <x:c r="V73" s="57"/>
      <x:c r="W73" s="58"/>
      <x:c r="X73" s="56"/>
      <x:c r="Y73" s="56"/>
      <x:c r="Z73" s="44"/>
      <x:c r="AA73" s="44"/>
      <x:c r="AB73" s="498"/>
      <x:c r="AC73" s="498"/>
      <x:c r="AD73" s="37"/>
      <x:c r="AF73" s="498"/>
      <x:c r="AG73" s="489"/>
      <x:c r="AH73" s="44"/>
      <x:c r="AI73" s="44"/>
      <x:c r="AJ73" s="44"/>
      <x:c r="AK73" s="44"/>
      <x:c r="AL73" s="44"/>
      <x:c r="AM73" s="37"/>
      <x:c r="AN73" s="37"/>
      <x:c r="AO73" s="44"/>
      <x:c r="AP73" s="44"/>
    </x:row>
    <x:row r="74" spans="1:42" customHeight="1">
      <x:c r="A74" s="54"/>
      <x:c r="B74" s="51"/>
      <x:c r="C74" s="51"/>
      <x:c r="D74" s="51"/>
      <x:c r="E74" s="51"/>
      <x:c r="F74" s="44"/>
      <x:c r="G74" s="44"/>
      <x:c r="H74" s="55"/>
      <x:c r="I74" s="55"/>
      <x:c r="J74" s="55"/>
      <x:c r="K74" s="55"/>
      <x:c r="L74" s="55"/>
      <x:c r="M74" s="55"/>
      <x:c r="N74" s="55"/>
      <x:c r="O74" s="489"/>
      <x:c r="P74" s="489"/>
      <x:c r="Q74" s="489"/>
      <x:c r="R74" s="489"/>
      <x:c r="S74" s="501"/>
      <x:c r="T74" s="44"/>
      <x:c r="U74" s="56"/>
      <x:c r="V74" s="57"/>
      <x:c r="W74" s="58"/>
      <x:c r="X74" s="56"/>
      <x:c r="Y74" s="56"/>
      <x:c r="Z74" s="44"/>
      <x:c r="AA74" s="44"/>
      <x:c r="AB74" s="498"/>
      <x:c r="AC74" s="498"/>
      <x:c r="AD74" s="37"/>
      <x:c r="AF74" s="498"/>
      <x:c r="AG74" s="489"/>
      <x:c r="AH74" s="44"/>
      <x:c r="AI74" s="44"/>
      <x:c r="AJ74" s="44"/>
      <x:c r="AK74" s="44"/>
      <x:c r="AL74" s="44"/>
      <x:c r="AM74" s="37"/>
      <x:c r="AN74" s="37"/>
      <x:c r="AO74" s="44"/>
      <x:c r="AP74" s="44"/>
    </x:row>
    <x:row r="75" spans="1:42" customHeight="1">
      <x:c r="A75" s="54"/>
      <x:c r="B75" s="51"/>
      <x:c r="C75" s="51"/>
      <x:c r="D75" s="51"/>
      <x:c r="E75" s="51"/>
      <x:c r="F75" s="44"/>
      <x:c r="G75" s="44"/>
      <x:c r="H75" s="55"/>
      <x:c r="I75" s="55"/>
      <x:c r="J75" s="55"/>
      <x:c r="K75" s="55"/>
      <x:c r="L75" s="55"/>
      <x:c r="M75" s="55"/>
      <x:c r="N75" s="55"/>
      <x:c r="O75" s="489"/>
      <x:c r="P75" s="489"/>
      <x:c r="Q75" s="489"/>
      <x:c r="R75" s="489"/>
      <x:c r="S75" s="501"/>
      <x:c r="T75" s="44"/>
      <x:c r="U75" s="56"/>
      <x:c r="V75" s="57"/>
      <x:c r="W75" s="58"/>
      <x:c r="X75" s="56"/>
      <x:c r="Y75" s="56"/>
      <x:c r="Z75" s="44"/>
      <x:c r="AA75" s="44"/>
      <x:c r="AB75" s="498"/>
      <x:c r="AC75" s="498"/>
      <x:c r="AD75" s="37"/>
      <x:c r="AF75" s="498"/>
      <x:c r="AG75" s="489"/>
      <x:c r="AH75" s="44"/>
      <x:c r="AI75" s="44"/>
      <x:c r="AJ75" s="44"/>
      <x:c r="AK75" s="44"/>
      <x:c r="AL75" s="44"/>
      <x:c r="AM75" s="37"/>
      <x:c r="AN75" s="37"/>
      <x:c r="AO75" s="44"/>
      <x:c r="AP75" s="44"/>
    </x:row>
    <x:row r="76" spans="1:42" customHeight="1">
      <x:c r="A76" s="54"/>
      <x:c r="B76" s="51"/>
      <x:c r="C76" s="51"/>
      <x:c r="D76" s="51"/>
      <x:c r="E76" s="51"/>
      <x:c r="F76" s="44"/>
      <x:c r="G76" s="44"/>
      <x:c r="H76" s="55"/>
      <x:c r="I76" s="55"/>
      <x:c r="J76" s="55"/>
      <x:c r="K76" s="55"/>
      <x:c r="L76" s="55"/>
      <x:c r="M76" s="55"/>
      <x:c r="N76" s="55"/>
      <x:c r="O76" s="489"/>
      <x:c r="P76" s="489"/>
      <x:c r="Q76" s="489"/>
      <x:c r="R76" s="489"/>
      <x:c r="S76" s="501"/>
      <x:c r="T76" s="44"/>
      <x:c r="U76" s="56"/>
      <x:c r="V76" s="57"/>
      <x:c r="W76" s="58"/>
      <x:c r="X76" s="56"/>
      <x:c r="Y76" s="56"/>
      <x:c r="Z76" s="44"/>
      <x:c r="AA76" s="44"/>
      <x:c r="AB76" s="498"/>
      <x:c r="AC76" s="498"/>
      <x:c r="AD76" s="37"/>
      <x:c r="AF76" s="498"/>
      <x:c r="AG76" s="489"/>
      <x:c r="AH76" s="44"/>
      <x:c r="AI76" s="44"/>
      <x:c r="AJ76" s="44"/>
      <x:c r="AK76" s="44"/>
      <x:c r="AL76" s="44"/>
      <x:c r="AM76" s="37"/>
      <x:c r="AN76" s="37"/>
      <x:c r="AO76" s="44"/>
      <x:c r="AP76" s="44"/>
    </x:row>
    <x:row r="77" spans="1:42" customHeight="1">
      <x:c r="A77" s="54"/>
      <x:c r="B77" s="51"/>
      <x:c r="C77" s="51"/>
      <x:c r="D77" s="51"/>
      <x:c r="E77" s="51"/>
      <x:c r="F77" s="44"/>
      <x:c r="G77" s="44"/>
      <x:c r="H77" s="55"/>
      <x:c r="I77" s="55"/>
      <x:c r="J77" s="55"/>
      <x:c r="K77" s="55"/>
      <x:c r="L77" s="55"/>
      <x:c r="M77" s="55"/>
      <x:c r="N77" s="55"/>
      <x:c r="O77" s="489"/>
      <x:c r="P77" s="489"/>
      <x:c r="Q77" s="489"/>
      <x:c r="R77" s="489"/>
      <x:c r="S77" s="501"/>
      <x:c r="T77" s="44"/>
      <x:c r="U77" s="56"/>
      <x:c r="V77" s="57"/>
      <x:c r="W77" s="58"/>
      <x:c r="X77" s="56"/>
      <x:c r="Y77" s="56"/>
      <x:c r="Z77" s="44"/>
      <x:c r="AA77" s="44"/>
      <x:c r="AB77" s="498"/>
      <x:c r="AC77" s="498"/>
      <x:c r="AD77" s="37"/>
      <x:c r="AF77" s="498"/>
      <x:c r="AG77" s="489"/>
      <x:c r="AH77" s="44"/>
      <x:c r="AI77" s="44"/>
      <x:c r="AJ77" s="44"/>
      <x:c r="AK77" s="44"/>
      <x:c r="AL77" s="44"/>
      <x:c r="AM77" s="37"/>
      <x:c r="AN77" s="37"/>
      <x:c r="AO77" s="44"/>
      <x:c r="AP77" s="44"/>
    </x:row>
    <x:row r="78" spans="1:42" customHeight="1">
      <x:c r="A78" s="54"/>
      <x:c r="B78" s="51"/>
      <x:c r="C78" s="51"/>
      <x:c r="D78" s="51"/>
      <x:c r="E78" s="51"/>
      <x:c r="F78" s="44"/>
      <x:c r="G78" s="44"/>
      <x:c r="H78" s="55"/>
      <x:c r="I78" s="55"/>
      <x:c r="J78" s="55"/>
      <x:c r="K78" s="55"/>
      <x:c r="L78" s="55"/>
      <x:c r="M78" s="55"/>
      <x:c r="N78" s="55"/>
      <x:c r="O78" s="489"/>
      <x:c r="P78" s="489"/>
      <x:c r="Q78" s="489"/>
      <x:c r="R78" s="489"/>
      <x:c r="S78" s="501"/>
      <x:c r="T78" s="44"/>
      <x:c r="U78" s="56"/>
      <x:c r="V78" s="57"/>
      <x:c r="W78" s="58"/>
      <x:c r="X78" s="56"/>
      <x:c r="Y78" s="56"/>
      <x:c r="Z78" s="44"/>
      <x:c r="AA78" s="44"/>
      <x:c r="AB78" s="489"/>
      <x:c r="AC78" s="489"/>
      <x:c r="AD78" s="44"/>
      <x:c r="AF78" s="489"/>
      <x:c r="AG78" s="489"/>
      <x:c r="AH78" s="44"/>
      <x:c r="AI78" s="44"/>
      <x:c r="AJ78" s="44"/>
      <x:c r="AK78" s="44"/>
      <x:c r="AL78" s="44"/>
      <x:c r="AO78" s="44"/>
      <x:c r="AP78" s="44"/>
    </x:row>
    <x:row r="79" spans="1:42" customHeight="1">
      <x:c r="A79" s="54"/>
      <x:c r="B79" s="51"/>
      <x:c r="C79" s="51"/>
      <x:c r="D79" s="51"/>
      <x:c r="E79" s="51"/>
      <x:c r="F79" s="44"/>
      <x:c r="G79" s="44"/>
      <x:c r="H79" s="55"/>
      <x:c r="I79" s="55"/>
      <x:c r="J79" s="55"/>
      <x:c r="K79" s="55"/>
      <x:c r="L79" s="55"/>
      <x:c r="M79" s="55"/>
      <x:c r="N79" s="55"/>
      <x:c r="O79" s="489"/>
      <x:c r="P79" s="489"/>
      <x:c r="Q79" s="489"/>
      <x:c r="R79" s="489"/>
      <x:c r="S79" s="501"/>
      <x:c r="T79" s="44"/>
      <x:c r="U79" s="56"/>
      <x:c r="V79" s="57"/>
      <x:c r="W79" s="58"/>
      <x:c r="X79" s="56"/>
      <x:c r="Y79" s="56"/>
      <x:c r="Z79" s="44"/>
      <x:c r="AA79" s="44"/>
      <x:c r="AB79" s="489"/>
      <x:c r="AC79" s="489"/>
      <x:c r="AD79" s="44"/>
      <x:c r="AF79" s="489"/>
      <x:c r="AG79" s="489"/>
      <x:c r="AH79" s="44"/>
      <x:c r="AI79" s="44"/>
      <x:c r="AJ79" s="44"/>
      <x:c r="AK79" s="44"/>
      <x:c r="AL79" s="44"/>
      <x:c r="AO79" s="44"/>
      <x:c r="AP79" s="44"/>
    </x:row>
    <x:row r="80" spans="1:42" customHeight="1">
      <x:c r="A80" s="54"/>
      <x:c r="B80" s="51"/>
      <x:c r="C80" s="51"/>
      <x:c r="D80" s="51"/>
      <x:c r="E80" s="51"/>
      <x:c r="F80" s="44"/>
      <x:c r="G80" s="44"/>
      <x:c r="H80" s="55"/>
      <x:c r="I80" s="55"/>
      <x:c r="J80" s="55"/>
      <x:c r="K80" s="55"/>
      <x:c r="L80" s="55"/>
      <x:c r="M80" s="55"/>
      <x:c r="N80" s="55"/>
      <x:c r="O80" s="489"/>
      <x:c r="P80" s="489"/>
      <x:c r="Q80" s="489"/>
      <x:c r="R80" s="489"/>
      <x:c r="S80" s="501"/>
      <x:c r="T80" s="44"/>
      <x:c r="U80" s="56"/>
      <x:c r="V80" s="57"/>
      <x:c r="W80" s="58"/>
      <x:c r="X80" s="56"/>
      <x:c r="Y80" s="56"/>
      <x:c r="Z80" s="44"/>
      <x:c r="AA80" s="44"/>
      <x:c r="AB80" s="489"/>
      <x:c r="AC80" s="489"/>
      <x:c r="AD80" s="44"/>
      <x:c r="AF80" s="489"/>
      <x:c r="AG80" s="489"/>
      <x:c r="AH80" s="44"/>
      <x:c r="AI80" s="44"/>
      <x:c r="AJ80" s="44"/>
      <x:c r="AK80" s="44"/>
      <x:c r="AL80" s="44"/>
      <x:c r="AO80" s="44"/>
      <x:c r="AP80" s="44"/>
    </x:row>
    <x:row r="81" spans="1:42" customHeight="1">
      <x:c r="A81" s="54"/>
      <x:c r="B81" s="51"/>
      <x:c r="C81" s="51"/>
      <x:c r="D81" s="51"/>
      <x:c r="E81" s="51"/>
      <x:c r="F81" s="44"/>
      <x:c r="G81" s="44"/>
      <x:c r="H81" s="55"/>
      <x:c r="I81" s="55"/>
      <x:c r="J81" s="55"/>
      <x:c r="K81" s="55"/>
      <x:c r="L81" s="55"/>
      <x:c r="M81" s="55"/>
      <x:c r="N81" s="55"/>
      <x:c r="O81" s="489"/>
      <x:c r="P81" s="489"/>
      <x:c r="Q81" s="489"/>
      <x:c r="R81" s="489"/>
      <x:c r="S81" s="501"/>
      <x:c r="T81" s="44"/>
      <x:c r="U81" s="56"/>
      <x:c r="V81" s="57"/>
      <x:c r="W81" s="58"/>
      <x:c r="X81" s="56"/>
      <x:c r="Y81" s="56"/>
      <x:c r="Z81" s="44"/>
      <x:c r="AA81" s="44"/>
      <x:c r="AB81" s="489"/>
      <x:c r="AC81" s="489"/>
      <x:c r="AD81" s="44"/>
      <x:c r="AF81" s="489"/>
      <x:c r="AG81" s="489"/>
      <x:c r="AH81" s="44"/>
      <x:c r="AI81" s="44"/>
      <x:c r="AJ81" s="44"/>
      <x:c r="AK81" s="44"/>
      <x:c r="AL81" s="44"/>
      <x:c r="AO81" s="44"/>
      <x:c r="AP81" s="44"/>
    </x:row>
    <x:row r="82" spans="1:42" customHeight="1">
      <x:c r="A82" s="54"/>
      <x:c r="B82" s="51"/>
      <x:c r="C82" s="51"/>
      <x:c r="D82" s="51"/>
      <x:c r="E82" s="51"/>
      <x:c r="F82" s="44"/>
      <x:c r="G82" s="44"/>
      <x:c r="H82" s="55"/>
      <x:c r="I82" s="55"/>
      <x:c r="J82" s="55"/>
      <x:c r="K82" s="55"/>
      <x:c r="L82" s="55"/>
      <x:c r="M82" s="55"/>
      <x:c r="N82" s="55"/>
      <x:c r="O82" s="489"/>
      <x:c r="P82" s="489"/>
      <x:c r="Q82" s="489"/>
      <x:c r="R82" s="489"/>
      <x:c r="S82" s="501"/>
      <x:c r="T82" s="44"/>
      <x:c r="U82" s="56"/>
      <x:c r="V82" s="57"/>
      <x:c r="W82" s="58"/>
      <x:c r="X82" s="56"/>
      <x:c r="Y82" s="56"/>
      <x:c r="Z82" s="44"/>
      <x:c r="AA82" s="44"/>
      <x:c r="AB82" s="489"/>
      <x:c r="AC82" s="489"/>
      <x:c r="AD82" s="44"/>
      <x:c r="AF82" s="489"/>
      <x:c r="AG82" s="489"/>
      <x:c r="AH82" s="44"/>
      <x:c r="AI82" s="44"/>
      <x:c r="AJ82" s="44"/>
      <x:c r="AK82" s="44"/>
      <x:c r="AL82" s="44"/>
      <x:c r="AO82" s="44"/>
      <x:c r="AP82" s="44"/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autoFilter ref="A5:AQ50"/>
  <x:mergeCells count="48">
    <x:mergeCell ref="B46:G46"/>
    <x:mergeCell ref="O3:O4"/>
    <x:mergeCell ref="Q3:Q4"/>
    <x:mergeCell ref="I3:I4"/>
    <x:mergeCell ref="B36:G36"/>
    <x:mergeCell ref="B31:G31"/>
    <x:mergeCell ref="B41:G41"/>
    <x:mergeCell ref="B26:G26"/>
    <x:mergeCell ref="B16:G16"/>
    <x:mergeCell ref="B11:G11"/>
    <x:mergeCell ref="L3:L4"/>
    <x:mergeCell ref="K3:K4"/>
    <x:mergeCell ref="J3:J4"/>
    <x:mergeCell ref="B21:G21"/>
    <x:mergeCell ref="G3:G4"/>
    <x:mergeCell ref="AP3:AP4"/>
    <x:mergeCell ref="B6:G6"/>
    <x:mergeCell ref="AB3:AD3"/>
    <x:mergeCell ref="AM3:AM4"/>
    <x:mergeCell ref="AF3:AH3"/>
    <x:mergeCell ref="AJ3:AJ4"/>
    <x:mergeCell ref="AK3:AK4"/>
    <x:mergeCell ref="AL3:AL4"/>
    <x:mergeCell ref="U3:U4"/>
    <x:mergeCell ref="V3:V4"/>
    <x:mergeCell ref="W3:W4"/>
    <x:mergeCell ref="Y3:Y4"/>
    <x:mergeCell ref="Z3:Z4"/>
    <x:mergeCell ref="AN3:AN4"/>
    <x:mergeCell ref="S3:S4"/>
    <x:mergeCell ref="F3:F4"/>
    <x:mergeCell ref="X3:X4"/>
    <x:mergeCell ref="H3:H4"/>
    <x:mergeCell ref="P3:P4"/>
    <x:mergeCell ref="R3:R4"/>
    <x:mergeCell ref="T3:T4"/>
    <x:mergeCell ref="M3:M4"/>
    <x:mergeCell ref="N3:N4"/>
    <x:mergeCell ref="A3:A4"/>
    <x:mergeCell ref="B3:B4"/>
    <x:mergeCell ref="C3:C4"/>
    <x:mergeCell ref="D3:D4"/>
    <x:mergeCell ref="E3:E4"/>
    <x:mergeCell ref="AJ1:AN1"/>
    <x:mergeCell ref="AB1:AD1"/>
    <x:mergeCell ref="AF1:AH1"/>
    <x:mergeCell ref="A1:Z1"/>
    <x:mergeCell ref="B2:L2"/>
  </x:mergeCells>
  <x:conditionalFormatting sqref="O1:O2 O5:O5 O51:O1048576 AF1:AF1 AF3:AF10 AB1:AB10 AF12:AF15 AB12:AB15 AF17:AF20 AB17:AB20 AF22:AF25 AB22:AB25 AF27:AF30 AB27:AB30 AF32:AF35 AB32:AB35 AF37:AF40 AB37:AB40 AF42:AF45 AB42:AB45 AF47:AF1048576 AB47:AB1048576">
    <x:cfRule type="containsText" dxfId="734" priority="615" operator="containsText" text="금액입력">
      <x:formula>NOT(ISERROR(SEARCH("금액입력",O1)))</x:formula>
    </x:cfRule>
  </x:conditionalFormatting>
  <x:conditionalFormatting sqref="F1:G2 F11:G11 F16:G16 AJ51:AJ991 F21:G21 F26:G26 F31:G31 F36:G36 F41:G41 F46:G46 F51:G1048576 F5:G6">
    <x:cfRule type="containsText" dxfId="733" priority="614" operator="containsText" text="직접입력">
      <x:formula>NOT(ISERROR(SEARCH("직접입력",F1)))</x:formula>
    </x:cfRule>
  </x:conditionalFormatting>
  <x:conditionalFormatting sqref="K1:K6 K51:K1048576">
    <x:cfRule type="containsText" dxfId="732" priority="613" operator="containsText" text="세부사업명 입력">
      <x:formula>NOT(ISERROR(SEARCH("세부사업명 입력",K1)))</x:formula>
    </x:cfRule>
  </x:conditionalFormatting>
  <x:conditionalFormatting sqref="L1:N2 L6:L6 L3:L4 L51:N1048576">
    <x:cfRule type="containsText" dxfId="731" priority="612" operator="containsText" text="부기명 입력">
      <x:formula>NOT(ISERROR(SEARCH("부기명 입력",L1)))</x:formula>
    </x:cfRule>
  </x:conditionalFormatting>
  <x:conditionalFormatting sqref="AJ7:AJ10 AJ12:AJ15 AJ17:AJ20 AJ22:AJ25 AJ27:AJ30 AJ32:AJ35 AJ37:AJ40 AJ42:AJ45 AJ47:AJ50">
    <x:cfRule type="containsText" dxfId="730" priority="611" operator="containsText" text="직접입력">
      <x:formula>NOT(ISERROR(SEARCH("직접입력",AJ7)))</x:formula>
    </x:cfRule>
  </x:conditionalFormatting>
  <x:conditionalFormatting sqref="L5:L5">
    <x:cfRule type="containsText" dxfId="729" priority="610" operator="containsText" text="부기명 입력">
      <x:formula>NOT(ISERROR(SEARCH("부기명 입력",L5)))</x:formula>
    </x:cfRule>
  </x:conditionalFormatting>
  <x:conditionalFormatting sqref="K7:K10 K12:K15 K17:K20 K22:K25 K27:K30 K32:K35 K37:K40 K42:K45 K47:K50">
    <x:cfRule type="containsText" dxfId="728" priority="392" operator="containsText" text="세부사업명 입력">
      <x:formula>NOT(ISERROR(SEARCH("세부사업명 입력",K7)))</x:formula>
    </x:cfRule>
  </x:conditionalFormatting>
  <x:conditionalFormatting sqref="L7:L10 L12:L15 L17:L20 L22:L25 L27:L30 L32:L35 L37:L40 L42:L45 L47:L50">
    <x:cfRule type="containsText" dxfId="727" priority="391" operator="containsText" text="부기명 입력">
      <x:formula>NOT(ISERROR(SEARCH("부기명 입력",L7)))</x:formula>
    </x:cfRule>
  </x:conditionalFormatting>
  <x:conditionalFormatting sqref="O7:O10 O12:O15 O17:O20 O22:O25 O27:O30 O32:O35 O37:O40 O42:O45 O47:O50">
    <x:cfRule type="containsText" dxfId="726" priority="390" operator="containsText" text="금액입력">
      <x:formula>NOT(ISERROR(SEARCH("금액입력",O7)))</x:formula>
    </x:cfRule>
  </x:conditionalFormatting>
  <x:conditionalFormatting sqref="M6:S6">
    <x:cfRule type="containsText" dxfId="725" priority="386" operator="containsText" text="금액입력">
      <x:formula>NOT(ISERROR(SEARCH("금액입력",M6)))</x:formula>
    </x:cfRule>
  </x:conditionalFormatting>
  <x:conditionalFormatting sqref="M5:N5">
    <x:cfRule type="containsText" dxfId="724" priority="385" operator="containsText" text="금액입력">
      <x:formula>NOT(ISERROR(SEARCH("금액입력",M5)))</x:formula>
    </x:cfRule>
  </x:conditionalFormatting>
  <x:conditionalFormatting sqref="K11:K11">
    <x:cfRule type="containsText" dxfId="723" priority="383" operator="containsText" text="세부사업명 입력">
      <x:formula>NOT(ISERROR(SEARCH("세부사업명 입력",K11)))</x:formula>
    </x:cfRule>
  </x:conditionalFormatting>
  <x:conditionalFormatting sqref="L11:L11">
    <x:cfRule type="containsText" dxfId="722" priority="382" operator="containsText" text="부기명 입력">
      <x:formula>NOT(ISERROR(SEARCH("부기명 입력",L11)))</x:formula>
    </x:cfRule>
  </x:conditionalFormatting>
  <x:conditionalFormatting sqref="M11:S11">
    <x:cfRule type="containsText" dxfId="721" priority="375" operator="containsText" text="금액입력">
      <x:formula>NOT(ISERROR(SEARCH("금액입력",M11)))</x:formula>
    </x:cfRule>
  </x:conditionalFormatting>
  <x:conditionalFormatting sqref="K16:K16">
    <x:cfRule type="containsText" dxfId="720" priority="373" operator="containsText" text="세부사업명 입력">
      <x:formula>NOT(ISERROR(SEARCH("세부사업명 입력",K16)))</x:formula>
    </x:cfRule>
  </x:conditionalFormatting>
  <x:conditionalFormatting sqref="L16:L16">
    <x:cfRule type="containsText" dxfId="719" priority="372" operator="containsText" text="부기명 입력">
      <x:formula>NOT(ISERROR(SEARCH("부기명 입력",L16)))</x:formula>
    </x:cfRule>
  </x:conditionalFormatting>
  <x:conditionalFormatting sqref="M16:S16">
    <x:cfRule type="containsText" dxfId="718" priority="365" operator="containsText" text="금액입력">
      <x:formula>NOT(ISERROR(SEARCH("금액입력",M16)))</x:formula>
    </x:cfRule>
  </x:conditionalFormatting>
  <x:conditionalFormatting sqref="K21:K21">
    <x:cfRule type="containsText" dxfId="717" priority="363" operator="containsText" text="세부사업명 입력">
      <x:formula>NOT(ISERROR(SEARCH("세부사업명 입력",K21)))</x:formula>
    </x:cfRule>
  </x:conditionalFormatting>
  <x:conditionalFormatting sqref="L21:L21">
    <x:cfRule type="containsText" dxfId="716" priority="362" operator="containsText" text="부기명 입력">
      <x:formula>NOT(ISERROR(SEARCH("부기명 입력",L21)))</x:formula>
    </x:cfRule>
  </x:conditionalFormatting>
  <x:conditionalFormatting sqref="M21:S21">
    <x:cfRule type="containsText" dxfId="715" priority="355" operator="containsText" text="금액입력">
      <x:formula>NOT(ISERROR(SEARCH("금액입력",M21)))</x:formula>
    </x:cfRule>
  </x:conditionalFormatting>
  <x:conditionalFormatting sqref="K26:K26">
    <x:cfRule type="containsText" dxfId="714" priority="353" operator="containsText" text="세부사업명 입력">
      <x:formula>NOT(ISERROR(SEARCH("세부사업명 입력",K26)))</x:formula>
    </x:cfRule>
  </x:conditionalFormatting>
  <x:conditionalFormatting sqref="L26:L26">
    <x:cfRule type="containsText" dxfId="713" priority="352" operator="containsText" text="부기명 입력">
      <x:formula>NOT(ISERROR(SEARCH("부기명 입력",L26)))</x:formula>
    </x:cfRule>
  </x:conditionalFormatting>
  <x:conditionalFormatting sqref="M26:S26">
    <x:cfRule type="containsText" dxfId="712" priority="345" operator="containsText" text="금액입력">
      <x:formula>NOT(ISERROR(SEARCH("금액입력",M26)))</x:formula>
    </x:cfRule>
  </x:conditionalFormatting>
  <x:conditionalFormatting sqref="K31:K31">
    <x:cfRule type="containsText" dxfId="711" priority="343" operator="containsText" text="세부사업명 입력">
      <x:formula>NOT(ISERROR(SEARCH("세부사업명 입력",K31)))</x:formula>
    </x:cfRule>
  </x:conditionalFormatting>
  <x:conditionalFormatting sqref="L31:L31">
    <x:cfRule type="containsText" dxfId="710" priority="342" operator="containsText" text="부기명 입력">
      <x:formula>NOT(ISERROR(SEARCH("부기명 입력",L31)))</x:formula>
    </x:cfRule>
  </x:conditionalFormatting>
  <x:conditionalFormatting sqref="M31:S31">
    <x:cfRule type="containsText" dxfId="709" priority="335" operator="containsText" text="금액입력">
      <x:formula>NOT(ISERROR(SEARCH("금액입력",M31)))</x:formula>
    </x:cfRule>
  </x:conditionalFormatting>
  <x:conditionalFormatting sqref="K36:K36">
    <x:cfRule type="containsText" dxfId="708" priority="333" operator="containsText" text="세부사업명 입력">
      <x:formula>NOT(ISERROR(SEARCH("세부사업명 입력",K36)))</x:formula>
    </x:cfRule>
  </x:conditionalFormatting>
  <x:conditionalFormatting sqref="L36:L36">
    <x:cfRule type="containsText" dxfId="707" priority="332" operator="containsText" text="부기명 입력">
      <x:formula>NOT(ISERROR(SEARCH("부기명 입력",L36)))</x:formula>
    </x:cfRule>
  </x:conditionalFormatting>
  <x:conditionalFormatting sqref="M36:S36">
    <x:cfRule type="containsText" dxfId="706" priority="325" operator="containsText" text="금액입력">
      <x:formula>NOT(ISERROR(SEARCH("금액입력",M36)))</x:formula>
    </x:cfRule>
  </x:conditionalFormatting>
  <x:conditionalFormatting sqref="K41:K41">
    <x:cfRule type="containsText" dxfId="705" priority="323" operator="containsText" text="세부사업명 입력">
      <x:formula>NOT(ISERROR(SEARCH("세부사업명 입력",K41)))</x:formula>
    </x:cfRule>
  </x:conditionalFormatting>
  <x:conditionalFormatting sqref="L41:L41">
    <x:cfRule type="containsText" dxfId="704" priority="322" operator="containsText" text="부기명 입력">
      <x:formula>NOT(ISERROR(SEARCH("부기명 입력",L41)))</x:formula>
    </x:cfRule>
  </x:conditionalFormatting>
  <x:conditionalFormatting sqref="M41:S41">
    <x:cfRule type="containsText" dxfId="703" priority="315" operator="containsText" text="금액입력">
      <x:formula>NOT(ISERROR(SEARCH("금액입력",M41)))</x:formula>
    </x:cfRule>
  </x:conditionalFormatting>
  <x:conditionalFormatting sqref="K46:K46">
    <x:cfRule type="containsText" dxfId="702" priority="313" operator="containsText" text="세부사업명 입력">
      <x:formula>NOT(ISERROR(SEARCH("세부사업명 입력",K46)))</x:formula>
    </x:cfRule>
  </x:conditionalFormatting>
  <x:conditionalFormatting sqref="L46:L46">
    <x:cfRule type="containsText" dxfId="701" priority="312" operator="containsText" text="부기명 입력">
      <x:formula>NOT(ISERROR(SEARCH("부기명 입력",L46)))</x:formula>
    </x:cfRule>
  </x:conditionalFormatting>
  <x:conditionalFormatting sqref="M46:S46">
    <x:cfRule type="containsText" dxfId="700" priority="305" operator="containsText" text="금액입력">
      <x:formula>NOT(ISERROR(SEARCH("금액입력",M46)))</x:formula>
    </x:cfRule>
  </x:conditionalFormatting>
  <x:conditionalFormatting sqref="O3:O4">
    <x:cfRule type="containsText" dxfId="699" priority="304" operator="containsText" text="금액입력">
      <x:formula>NOT(ISERROR(SEARCH("금액입력",O3)))</x:formula>
    </x:cfRule>
  </x:conditionalFormatting>
  <x:conditionalFormatting sqref="F3:G4">
    <x:cfRule type="containsText" dxfId="698" priority="302" operator="containsText" text="직접입력">
      <x:formula>NOT(ISERROR(SEARCH("직접입력",F3)))</x:formula>
    </x:cfRule>
  </x:conditionalFormatting>
  <x:conditionalFormatting sqref="AF11:AF11 AB11:AB11">
    <x:cfRule type="containsText" dxfId="697" priority="285" operator="containsText" text="금액입력">
      <x:formula>NOT(ISERROR(SEARCH("금액입력",AB11)))</x:formula>
    </x:cfRule>
  </x:conditionalFormatting>
  <x:conditionalFormatting sqref="AF16:AF16 AB16:AB16">
    <x:cfRule type="containsText" dxfId="696" priority="283" operator="containsText" text="금액입력">
      <x:formula>NOT(ISERROR(SEARCH("금액입력",AB16)))</x:formula>
    </x:cfRule>
  </x:conditionalFormatting>
  <x:conditionalFormatting sqref="AF21:AF21 AB21:AB21">
    <x:cfRule type="containsText" dxfId="695" priority="281" operator="containsText" text="금액입력">
      <x:formula>NOT(ISERROR(SEARCH("금액입력",AB21)))</x:formula>
    </x:cfRule>
  </x:conditionalFormatting>
  <x:conditionalFormatting sqref="AF26:AF26 AB26:AB26">
    <x:cfRule type="containsText" dxfId="694" priority="279" operator="containsText" text="금액입력">
      <x:formula>NOT(ISERROR(SEARCH("금액입력",AB26)))</x:formula>
    </x:cfRule>
  </x:conditionalFormatting>
  <x:conditionalFormatting sqref="AF31:AF31 AB31:AB31">
    <x:cfRule type="containsText" dxfId="693" priority="277" operator="containsText" text="금액입력">
      <x:formula>NOT(ISERROR(SEARCH("금액입력",AB31)))</x:formula>
    </x:cfRule>
  </x:conditionalFormatting>
  <x:conditionalFormatting sqref="AF36:AF36 AB36:AB36">
    <x:cfRule type="containsText" dxfId="692" priority="275" operator="containsText" text="금액입력">
      <x:formula>NOT(ISERROR(SEARCH("금액입력",AB36)))</x:formula>
    </x:cfRule>
  </x:conditionalFormatting>
  <x:conditionalFormatting sqref="AF41:AF41 AB41:AB41">
    <x:cfRule type="containsText" dxfId="691" priority="273" operator="containsText" text="금액입력">
      <x:formula>NOT(ISERROR(SEARCH("금액입력",AB41)))</x:formula>
    </x:cfRule>
  </x:conditionalFormatting>
  <x:conditionalFormatting sqref="AF46:AF46 AB46:AB46">
    <x:cfRule type="containsText" dxfId="690" priority="271" operator="containsText" text="금액입력">
      <x:formula>NOT(ISERROR(SEARCH("금액입력",AB46)))</x:formula>
    </x:cfRule>
  </x:conditionalFormatting>
  <x:conditionalFormatting sqref="AC2:AC2">
    <x:cfRule type="containsText" dxfId="689" priority="269" operator="containsText" text="금액입력">
      <x:formula>NOT(ISERROR(SEARCH("금액입력",AC2)))</x:formula>
    </x:cfRule>
  </x:conditionalFormatting>
  <x:conditionalFormatting sqref="AF2:AF2">
    <x:cfRule type="containsText" dxfId="688" priority="268" operator="containsText" text="금액입력">
      <x:formula>NOT(ISERROR(SEARCH("금액입력",AF2)))</x:formula>
    </x:cfRule>
  </x:conditionalFormatting>
  <x:conditionalFormatting sqref="AG2:AG2">
    <x:cfRule type="containsText" dxfId="687" priority="267" operator="containsText" text="금액입력">
      <x:formula>NOT(ISERROR(SEARCH("금액입력",AG2)))</x:formula>
    </x:cfRule>
  </x:conditionalFormatting>
  <x:conditionalFormatting sqref="M3:N4">
    <x:cfRule type="containsText" dxfId="686" priority="266" operator="containsText" text="금액입력">
      <x:formula>NOT(ISERROR(SEARCH("금액입력",M3)))</x:formula>
    </x:cfRule>
  </x:conditionalFormatting>
  <x:conditionalFormatting sqref="B7:C10 B12:C15 B17:C20 B22:C25 B27:C30 B32:C35 B37:C40 B42:C45 B47:C50">
    <x:cfRule type="containsText" dxfId="685" priority="217" operator="containsText" text="직접입력">
      <x:formula>NOT(ISERROR(SEARCH("직접입력",B7)))</x:formula>
    </x:cfRule>
  </x:conditionalFormatting>
  <x:conditionalFormatting sqref="F7:G10">
    <x:cfRule type="containsText" dxfId="684" priority="171" operator="containsText" text="직접입력">
      <x:formula>NOT(ISERROR(SEARCH("직접입력",F7)))</x:formula>
    </x:cfRule>
  </x:conditionalFormatting>
  <x:conditionalFormatting sqref="M7:M10">
    <x:cfRule type="containsText" dxfId="683" priority="145" operator="containsText" text="부기명 입력">
      <x:formula>NOT(ISERROR(SEARCH("부기명 입력",M7)))</x:formula>
    </x:cfRule>
  </x:conditionalFormatting>
  <x:conditionalFormatting sqref="M7:M10">
    <x:cfRule type="containsText" dxfId="682" priority="144" operator="containsText" text="금액입력">
      <x:formula>NOT(ISERROR(SEARCH("금액입력",M7)))</x:formula>
    </x:cfRule>
  </x:conditionalFormatting>
  <x:conditionalFormatting sqref="N7:N10">
    <x:cfRule type="containsText" dxfId="681" priority="143" operator="containsText" text="금액입력">
      <x:formula>NOT(ISERROR(SEARCH("금액입력",N7)))</x:formula>
    </x:cfRule>
  </x:conditionalFormatting>
  <x:conditionalFormatting sqref="F12:G15">
    <x:cfRule type="containsText" dxfId="680" priority="32" operator="containsText" text="직접입력">
      <x:formula>NOT(ISERROR(SEARCH("직접입력",F12)))</x:formula>
    </x:cfRule>
  </x:conditionalFormatting>
  <x:conditionalFormatting sqref="F17:G20">
    <x:cfRule type="containsText" dxfId="679" priority="31" operator="containsText" text="직접입력">
      <x:formula>NOT(ISERROR(SEARCH("직접입력",F17)))</x:formula>
    </x:cfRule>
  </x:conditionalFormatting>
  <x:conditionalFormatting sqref="F22:G25">
    <x:cfRule type="containsText" dxfId="678" priority="30" operator="containsText" text="직접입력">
      <x:formula>NOT(ISERROR(SEARCH("직접입력",F22)))</x:formula>
    </x:cfRule>
  </x:conditionalFormatting>
  <x:conditionalFormatting sqref="F27:G30">
    <x:cfRule type="containsText" dxfId="677" priority="29" operator="containsText" text="직접입력">
      <x:formula>NOT(ISERROR(SEARCH("직접입력",F27)))</x:formula>
    </x:cfRule>
  </x:conditionalFormatting>
  <x:conditionalFormatting sqref="F32:G35">
    <x:cfRule type="containsText" dxfId="676" priority="28" operator="containsText" text="직접입력">
      <x:formula>NOT(ISERROR(SEARCH("직접입력",F32)))</x:formula>
    </x:cfRule>
  </x:conditionalFormatting>
  <x:conditionalFormatting sqref="F37:G40">
    <x:cfRule type="containsText" dxfId="675" priority="27" operator="containsText" text="직접입력">
      <x:formula>NOT(ISERROR(SEARCH("직접입력",F37)))</x:formula>
    </x:cfRule>
  </x:conditionalFormatting>
  <x:conditionalFormatting sqref="F42:G45">
    <x:cfRule type="containsText" dxfId="674" priority="26" operator="containsText" text="직접입력">
      <x:formula>NOT(ISERROR(SEARCH("직접입력",F42)))</x:formula>
    </x:cfRule>
  </x:conditionalFormatting>
  <x:conditionalFormatting sqref="F47:G50">
    <x:cfRule type="containsText" dxfId="673" priority="25" operator="containsText" text="직접입력">
      <x:formula>NOT(ISERROR(SEARCH("직접입력",F47)))</x:formula>
    </x:cfRule>
  </x:conditionalFormatting>
  <x:conditionalFormatting sqref="M12:M15">
    <x:cfRule type="containsText" dxfId="672" priority="24" operator="containsText" text="부기명 입력">
      <x:formula>NOT(ISERROR(SEARCH("부기명 입력",M12)))</x:formula>
    </x:cfRule>
  </x:conditionalFormatting>
  <x:conditionalFormatting sqref="M12:M15">
    <x:cfRule type="containsText" dxfId="671" priority="23" operator="containsText" text="금액입력">
      <x:formula>NOT(ISERROR(SEARCH("금액입력",M12)))</x:formula>
    </x:cfRule>
  </x:conditionalFormatting>
  <x:conditionalFormatting sqref="N12:N15">
    <x:cfRule type="containsText" dxfId="670" priority="22" operator="containsText" text="금액입력">
      <x:formula>NOT(ISERROR(SEARCH("금액입력",N12)))</x:formula>
    </x:cfRule>
  </x:conditionalFormatting>
  <x:conditionalFormatting sqref="M17:M20">
    <x:cfRule type="containsText" dxfId="669" priority="21" operator="containsText" text="부기명 입력">
      <x:formula>NOT(ISERROR(SEARCH("부기명 입력",M17)))</x:formula>
    </x:cfRule>
  </x:conditionalFormatting>
  <x:conditionalFormatting sqref="M17:M20">
    <x:cfRule type="containsText" dxfId="668" priority="20" operator="containsText" text="금액입력">
      <x:formula>NOT(ISERROR(SEARCH("금액입력",M17)))</x:formula>
    </x:cfRule>
  </x:conditionalFormatting>
  <x:conditionalFormatting sqref="N17:N20">
    <x:cfRule type="containsText" dxfId="667" priority="19" operator="containsText" text="금액입력">
      <x:formula>NOT(ISERROR(SEARCH("금액입력",N17)))</x:formula>
    </x:cfRule>
  </x:conditionalFormatting>
  <x:conditionalFormatting sqref="M22:M25">
    <x:cfRule type="containsText" dxfId="666" priority="18" operator="containsText" text="부기명 입력">
      <x:formula>NOT(ISERROR(SEARCH("부기명 입력",M22)))</x:formula>
    </x:cfRule>
  </x:conditionalFormatting>
  <x:conditionalFormatting sqref="M22:M25">
    <x:cfRule type="containsText" dxfId="665" priority="17" operator="containsText" text="금액입력">
      <x:formula>NOT(ISERROR(SEARCH("금액입력",M22)))</x:formula>
    </x:cfRule>
  </x:conditionalFormatting>
  <x:conditionalFormatting sqref="N22:N25">
    <x:cfRule type="containsText" dxfId="664" priority="16" operator="containsText" text="금액입력">
      <x:formula>NOT(ISERROR(SEARCH("금액입력",N22)))</x:formula>
    </x:cfRule>
  </x:conditionalFormatting>
  <x:conditionalFormatting sqref="M27:M30">
    <x:cfRule type="containsText" dxfId="663" priority="15" operator="containsText" text="부기명 입력">
      <x:formula>NOT(ISERROR(SEARCH("부기명 입력",M27)))</x:formula>
    </x:cfRule>
  </x:conditionalFormatting>
  <x:conditionalFormatting sqref="M27:M30">
    <x:cfRule type="containsText" dxfId="662" priority="14" operator="containsText" text="금액입력">
      <x:formula>NOT(ISERROR(SEARCH("금액입력",M27)))</x:formula>
    </x:cfRule>
  </x:conditionalFormatting>
  <x:conditionalFormatting sqref="N27:N30">
    <x:cfRule type="containsText" dxfId="661" priority="13" operator="containsText" text="금액입력">
      <x:formula>NOT(ISERROR(SEARCH("금액입력",N27)))</x:formula>
    </x:cfRule>
  </x:conditionalFormatting>
  <x:conditionalFormatting sqref="M32:M35">
    <x:cfRule type="containsText" dxfId="660" priority="12" operator="containsText" text="부기명 입력">
      <x:formula>NOT(ISERROR(SEARCH("부기명 입력",M32)))</x:formula>
    </x:cfRule>
  </x:conditionalFormatting>
  <x:conditionalFormatting sqref="M32:M35">
    <x:cfRule type="containsText" dxfId="659" priority="11" operator="containsText" text="금액입력">
      <x:formula>NOT(ISERROR(SEARCH("금액입력",M32)))</x:formula>
    </x:cfRule>
  </x:conditionalFormatting>
  <x:conditionalFormatting sqref="N32:N35">
    <x:cfRule type="containsText" dxfId="658" priority="10" operator="containsText" text="금액입력">
      <x:formula>NOT(ISERROR(SEARCH("금액입력",N32)))</x:formula>
    </x:cfRule>
  </x:conditionalFormatting>
  <x:conditionalFormatting sqref="M37:M40">
    <x:cfRule type="containsText" dxfId="657" priority="9" operator="containsText" text="부기명 입력">
      <x:formula>NOT(ISERROR(SEARCH("부기명 입력",M37)))</x:formula>
    </x:cfRule>
  </x:conditionalFormatting>
  <x:conditionalFormatting sqref="M37:M40">
    <x:cfRule type="containsText" dxfId="656" priority="8" operator="containsText" text="금액입력">
      <x:formula>NOT(ISERROR(SEARCH("금액입력",M37)))</x:formula>
    </x:cfRule>
  </x:conditionalFormatting>
  <x:conditionalFormatting sqref="N37:N40">
    <x:cfRule type="containsText" dxfId="655" priority="7" operator="containsText" text="금액입력">
      <x:formula>NOT(ISERROR(SEARCH("금액입력",N37)))</x:formula>
    </x:cfRule>
  </x:conditionalFormatting>
  <x:conditionalFormatting sqref="M42:M45">
    <x:cfRule type="containsText" dxfId="654" priority="6" operator="containsText" text="부기명 입력">
      <x:formula>NOT(ISERROR(SEARCH("부기명 입력",M42)))</x:formula>
    </x:cfRule>
  </x:conditionalFormatting>
  <x:conditionalFormatting sqref="M42:M45">
    <x:cfRule type="containsText" dxfId="653" priority="5" operator="containsText" text="금액입력">
      <x:formula>NOT(ISERROR(SEARCH("금액입력",M42)))</x:formula>
    </x:cfRule>
  </x:conditionalFormatting>
  <x:conditionalFormatting sqref="N42:N45">
    <x:cfRule type="containsText" dxfId="652" priority="4" operator="containsText" text="금액입력">
      <x:formula>NOT(ISERROR(SEARCH("금액입력",N42)))</x:formula>
    </x:cfRule>
  </x:conditionalFormatting>
  <x:conditionalFormatting sqref="M47:M50">
    <x:cfRule type="containsText" dxfId="651" priority="3" operator="containsText" text="부기명 입력">
      <x:formula>NOT(ISERROR(SEARCH("부기명 입력",M47)))</x:formula>
    </x:cfRule>
  </x:conditionalFormatting>
  <x:conditionalFormatting sqref="M47:M50">
    <x:cfRule type="containsText" dxfId="650" priority="2" operator="containsText" text="금액입력">
      <x:formula>NOT(ISERROR(SEARCH("금액입력",M47)))</x:formula>
    </x:cfRule>
  </x:conditionalFormatting>
  <x:conditionalFormatting sqref="N47:N50">
    <x:cfRule type="containsText" dxfId="649" priority="1" operator="containsText" text="금액입력">
      <x:formula>NOT(ISERROR(SEARCH("금액입력",N47)))</x:formula>
    </x:cfRule>
  </x:conditionalFormatting>
  <x:dataValidations count="5">
    <x:dataValidation type="list" allowBlank="1" showInputMessage="1" showErrorMessage="1" sqref="W7:W10 W42:W45 W12:W15 W17:W20 W22:W25 W27:W30 W32:W35 W37:W40 Y42:Y45 Y37:Y40 Y7:Y10 Y12:Y15 Y17:Y20 Y22:Y25 Y27:Y30 Y32:Y35 W47:W50 Y47:Y50">
      <x:formula1>"동의, 부동의, 미실시"</x:formula1>
    </x:dataValidation>
    <x:dataValidation type="list" allowBlank="1" showInputMessage="1" showErrorMessage="1" sqref="E5:E5">
      <x:formula1>"본예산, 신규"</x:formula1>
    </x:dataValidation>
    <x:dataValidation type="list" allowBlank="1" showInputMessage="1" showErrorMessage="1" sqref="Z6:Z6 Z11:Z11 Z16:Z16 Z21:Z21 Z26:Z26 Z31:Z31 Z36:Z36 Z41:Z41 Z46:Z46 AJ41:AK41 AP6:AP6 AJ36:AK36 AM36:AM36 AJ6:AK6 AM6:AM6 AJ11:AK11 AM11:AM11 AJ16:AK16 AM16:AM16 AJ21:AK21 AM21:AM21 AJ26:AK26 AM26:AM26 AJ31:AK31 AM31:AM31 AM41:AM41 AP11:AP11 AP16:AP16 AP21:AP21 AP26:AP26 AP31:AP31 AP36:AP36 AP41:AP41 AP46:AP46 AJ46:AK46 AM46:AM46">
      <x:formula1>"도비,국도비"</x:formula1>
    </x:dataValidation>
    <x:dataValidation type="custom" allowBlank="1" showInputMessage="1" showErrorMessage="1" sqref="Z42:Z45 Z37:Z40 Z7:Z10 Z12:Z15 Z17:Z20 Z22:Z25 Z27:Z30 Z32:Z35 Z47:Z50">
      <x:formula1>"국도비, 도비"</x:formula1>
    </x:dataValidation>
    <x:dataValidation type="list" allowBlank="1" showInputMessage="1" showErrorMessage="1" sqref="E32:E35 E37:E40 E42:E45 E7:E10 E12:E15 E17:E20 E22:E25 E27:E30 E47:E50">
      <x:formula1>"본예산, 1추, 2추, 신규"</x:formula1>
    </x:dataValidation>
  </x:dataValidation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24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  <x:legacyDrawing r:id="rId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>
    <x:tabColor rgb="ff7030a0"/>
    <x:pageSetUpPr autoPageBreaks="1" fitToPage="1"/>
  </x:sheetPr>
  <x:dimension ref="A1:Z33"/>
  <x:sheetViews>
    <x:sheetView view="pageBreakPreview" topLeftCell="A1" zoomScale="40" zoomScaleNormal="55" zoomScaleSheetLayoutView="40" workbookViewId="0">
      <x:pane xSplit="0" ySplit="5" topLeftCell="A6" activePane="bottomLeft" state="frozen"/>
      <x:selection pane="bottomLeft" activeCell="A13" activeCellId="0" sqref="A13:A13"/>
    </x:sheetView>
  </x:sheetViews>
  <x:sheetFormatPr defaultColWidth="9" defaultRowHeight="50.100000000000001" customHeight="1"/>
  <x:cols>
    <x:col min="1" max="1" width="11.75" style="21" customWidth="1"/>
    <x:col min="2" max="2" width="22.125" style="49" bestFit="1" customWidth="1"/>
    <x:col min="3" max="3" width="25.375" style="49" bestFit="1" customWidth="1"/>
    <x:col min="4" max="4" width="22.125" style="49" bestFit="1" customWidth="1"/>
    <x:col min="5" max="5" width="10.125" style="49" bestFit="1" customWidth="1"/>
    <x:col min="6" max="7" width="15.625" style="62" customWidth="1"/>
    <x:col min="8" max="8" width="21.5" style="62" customWidth="1"/>
    <x:col min="9" max="9" width="10.625" style="21" bestFit="1" customWidth="1"/>
    <x:col min="10" max="10" width="21.5" style="21" customWidth="1"/>
    <x:col min="11" max="11" width="33.25" style="21" customWidth="1"/>
    <x:col min="12" max="13" width="25.625" style="21" customWidth="1"/>
    <x:col min="14" max="18" width="25.625" style="454" customWidth="1"/>
    <x:col min="19" max="19" width="12.625" style="21" customWidth="1"/>
    <x:col min="20" max="20" width="19" style="30" customWidth="1"/>
    <x:col min="21" max="21" width="26.625" style="30" bestFit="1" customWidth="1"/>
    <x:col min="22" max="22" width="15.875" style="30" customWidth="1"/>
    <x:col min="23" max="23" width="26.5" style="30" customWidth="1"/>
    <x:col min="24" max="24" width="14.875" style="30" bestFit="1" customWidth="1"/>
    <x:col min="25" max="25" width="12.625" style="49" bestFit="1" customWidth="1"/>
    <x:col min="26" max="26" width="4.625" style="21" customWidth="1"/>
    <x:col min="27" max="16384" width="9" style="21"/>
  </x:cols>
  <x:sheetData>
    <x:row r="1" spans="1:25" ht="90" customHeight="1">
      <x:c r="A1" s="948" t="s">
        <x:v>1438</x:v>
      </x:c>
      <x:c r="B1" s="948"/>
      <x:c r="C1" s="948"/>
      <x:c r="D1" s="948"/>
      <x:c r="E1" s="948"/>
      <x:c r="F1" s="948"/>
      <x:c r="G1" s="948"/>
      <x:c r="H1" s="948"/>
      <x:c r="I1" s="948"/>
      <x:c r="J1" s="948"/>
      <x:c r="K1" s="948"/>
      <x:c r="L1" s="948"/>
      <x:c r="M1" s="948"/>
      <x:c r="N1" s="948"/>
      <x:c r="O1" s="948"/>
      <x:c r="P1" s="948"/>
      <x:c r="Q1" s="948"/>
      <x:c r="R1" s="948"/>
      <x:c r="S1" s="948"/>
      <x:c r="T1" s="948"/>
      <x:c r="U1" s="948"/>
      <x:c r="V1" s="948"/>
      <x:c r="W1" s="948"/>
      <x:c r="X1" s="948"/>
      <x:c r="Y1" s="948"/>
    </x:row>
    <x:row r="2" spans="1:25" s="44" customFormat="1" ht="39" customHeight="1">
      <x:c r="A2" s="54"/>
      <x:c r="B2" s="52"/>
      <x:c r="C2" s="51"/>
      <x:c r="D2" s="51"/>
      <x:c r="E2" s="51"/>
      <x:c r="F2" s="51"/>
      <x:c r="G2" s="51"/>
      <x:c r="H2" s="51"/>
      <x:c r="N2" s="489"/>
      <x:c r="O2" s="489"/>
      <x:c r="P2" s="489"/>
      <x:c r="Q2" s="489"/>
      <x:c r="R2" s="490">
        <x:f>R6-N6</x:f>
        <x:v>0</x:v>
      </x:c>
      <x:c r="Y2" s="51"/>
    </x:row>
    <x:row r="3" spans="1:25" ht="24.75" customHeight="1">
      <x:c r="A3" s="23"/>
      <x:c r="O3" s="456"/>
      <x:c r="P3" s="456"/>
      <x:c r="Q3" s="456"/>
      <x:c r="R3" s="456"/>
      <x:c r="S3" s="74"/>
      <x:c r="X3" s="350"/>
      <x:c r="Y3" s="71" t="s">
        <x:v>1513</x:v>
      </x:c>
    </x:row>
    <x:row r="4" spans="1:26" s="329" customFormat="1" ht="60" customHeight="1">
      <x:c r="A4" s="893" t="s">
        <x:v>116</x:v>
      </x:c>
      <x:c r="B4" s="904" t="s">
        <x:v>1933</x:v>
      </x:c>
      <x:c r="C4" s="904" t="s">
        <x:v>74</x:v>
      </x:c>
      <x:c r="D4" s="904" t="s">
        <x:v>94</x:v>
      </x:c>
      <x:c r="E4" s="894" t="s">
        <x:v>1320</x:v>
      </x:c>
      <x:c r="F4" s="894" t="s">
        <x:v>1646</x:v>
      </x:c>
      <x:c r="G4" s="894" t="s">
        <x:v>1620</x:v>
      </x:c>
      <x:c r="H4" s="972" t="s">
        <x:v>95</x:v>
      </x:c>
      <x:c r="I4" s="975" t="s">
        <x:v>119</x:v>
      </x:c>
      <x:c r="J4" s="893" t="s">
        <x:v>126</x:v>
      </x:c>
      <x:c r="K4" s="893" t="s">
        <x:v>127</x:v>
      </x:c>
      <x:c r="L4" s="889" t="s">
        <x:v>1412</x:v>
      </x:c>
      <x:c r="M4" s="889" t="s">
        <x:v>1678</x:v>
      </x:c>
      <x:c r="N4" s="889" t="s">
        <x:v>443</x:v>
      </x:c>
      <x:c r="O4" s="902" t="s">
        <x:v>1661</x:v>
      </x:c>
      <x:c r="P4" s="891" t="s">
        <x:v>1357</x:v>
      </x:c>
      <x:c r="Q4" s="902" t="s">
        <x:v>1636</x:v>
      </x:c>
      <x:c r="R4" s="891" t="s">
        <x:v>1359</x:v>
      </x:c>
      <x:c r="S4" s="899" t="s">
        <x:v>1543</x:v>
      </x:c>
      <x:c r="T4" s="891" t="s">
        <x:v>1550</x:v>
      </x:c>
      <x:c r="U4" s="891" t="s">
        <x:v>1549</x:v>
      </x:c>
      <x:c r="V4" s="891" t="s">
        <x:v>1619</x:v>
      </x:c>
      <x:c r="W4" s="891" t="s">
        <x:v>1492</x:v>
      </x:c>
      <x:c r="X4" s="891" t="s">
        <x:v>551</x:v>
      </x:c>
      <x:c r="Y4" s="894" t="s">
        <x:v>136</x:v>
      </x:c>
      <x:c r="Z4" s="328"/>
    </x:row>
    <x:row r="5" spans="1:26" s="329" customFormat="1" ht="60" customHeight="1">
      <x:c r="A5" s="893"/>
      <x:c r="B5" s="904"/>
      <x:c r="C5" s="904"/>
      <x:c r="D5" s="904"/>
      <x:c r="E5" s="894"/>
      <x:c r="F5" s="894"/>
      <x:c r="G5" s="894"/>
      <x:c r="H5" s="974"/>
      <x:c r="I5" s="977"/>
      <x:c r="J5" s="893"/>
      <x:c r="K5" s="893"/>
      <x:c r="L5" s="890"/>
      <x:c r="M5" s="890"/>
      <x:c r="N5" s="890"/>
      <x:c r="O5" s="903"/>
      <x:c r="P5" s="892"/>
      <x:c r="Q5" s="903"/>
      <x:c r="R5" s="892"/>
      <x:c r="S5" s="899"/>
      <x:c r="T5" s="891"/>
      <x:c r="U5" s="891"/>
      <x:c r="V5" s="891"/>
      <x:c r="W5" s="891"/>
      <x:c r="X5" s="891"/>
      <x:c r="Y5" s="904"/>
      <x:c r="Z5" s="328"/>
    </x:row>
    <x:row r="6" spans="1:26" s="396" customFormat="1" ht="80.099999999999994" customHeight="1">
      <x:c r="A6" s="394"/>
      <x:c r="B6" s="179" t="s">
        <x:v>102</x:v>
      </x:c>
      <x:c r="C6" s="399"/>
      <x:c r="D6" s="399"/>
      <x:c r="E6" s="399"/>
      <x:c r="F6" s="399"/>
      <x:c r="G6" s="399"/>
      <x:c r="H6" s="399"/>
      <x:c r="I6" s="392"/>
      <x:c r="J6" s="392"/>
      <x:c r="K6" s="393" t="str">
        <x:f>SUBTOTAL(3,K$7:K$1959)&amp;"건"</x:f>
        <x:v>0건</x:v>
      </x:c>
      <x:c r="L6" s="491">
        <x:f t="shared" ref="L6:M6" si="0">SUBTOTAL(9,L$7:L$1959)</x:f>
        <x:v>0</x:v>
      </x:c>
      <x:c r="M6" s="491">
        <x:f t="shared" si="0"/>
        <x:v>0</x:v>
      </x:c>
      <x:c r="N6" s="491">
        <x:f>SUBTOTAL(9,N$7:N$1959)</x:f>
        <x:v>0</x:v>
      </x:c>
      <x:c r="O6" s="491">
        <x:f>SUBTOTAL(9,O$7:O$1959)</x:f>
        <x:v>0</x:v>
      </x:c>
      <x:c r="P6" s="491">
        <x:f>SUBTOTAL(9,P$7:P$1959)</x:f>
        <x:v>0</x:v>
      </x:c>
      <x:c r="Q6" s="491">
        <x:f>SUBTOTAL(9,Q$7:Q$1959)</x:f>
        <x:v>0</x:v>
      </x:c>
      <x:c r="R6" s="491">
        <x:f>SUBTOTAL(9,R$7:R$1959)</x:f>
        <x:v>0</x:v>
      </x:c>
      <x:c r="S6" s="400"/>
      <x:c r="T6" s="400"/>
      <x:c r="U6" s="400"/>
      <x:c r="V6" s="400"/>
      <x:c r="W6" s="400"/>
      <x:c r="X6" s="400"/>
      <x:c r="Y6" s="401"/>
      <x:c r="Z6" s="402"/>
    </x:row>
    <x:row r="7" spans="1:26" ht="69.950000000000003" customHeight="1">
      <x:c r="A7" s="171"/>
      <x:c r="B7" s="888" t="s">
        <x:v>437</x:v>
      </x:c>
      <x:c r="C7" s="888"/>
      <x:c r="D7" s="888"/>
      <x:c r="E7" s="888"/>
      <x:c r="F7" s="888"/>
      <x:c r="G7" s="888"/>
      <x:c r="H7" s="538"/>
      <x:c r="I7" s="172"/>
      <x:c r="J7" s="172"/>
      <x:c r="K7" s="349" t="str">
        <x:f>SUBTOTAL(3,K8:K11)&amp;"건"</x:f>
        <x:v>0건</x:v>
      </x:c>
      <x:c r="L7" s="458">
        <x:f t="shared" ref="L7:R7" si="1">SUBTOTAL(9,L8:L11)</x:f>
        <x:v>0</x:v>
      </x:c>
      <x:c r="M7" s="458">
        <x:f t="shared" si="1"/>
        <x:v>0</x:v>
      </x:c>
      <x:c r="N7" s="458">
        <x:f t="shared" si="1"/>
        <x:v>0</x:v>
      </x:c>
      <x:c r="O7" s="458">
        <x:f t="shared" si="1"/>
        <x:v>0</x:v>
      </x:c>
      <x:c r="P7" s="458">
        <x:f t="shared" si="1"/>
        <x:v>0</x:v>
      </x:c>
      <x:c r="Q7" s="458">
        <x:f t="shared" si="1"/>
        <x:v>0</x:v>
      </x:c>
      <x:c r="R7" s="458">
        <x:f t="shared" si="1"/>
        <x:v>0</x:v>
      </x:c>
      <x:c r="S7" s="171"/>
      <x:c r="T7" s="171"/>
      <x:c r="U7" s="171"/>
      <x:c r="V7" s="171"/>
      <x:c r="W7" s="171"/>
      <x:c r="X7" s="171"/>
      <x:c r="Y7" s="173"/>
      <x:c r="Z7" s="43"/>
    </x:row>
    <x:row r="8" spans="1:26" s="165" customFormat="1" ht="69.950000000000003" customHeight="1">
      <x:c r="A8" s="155" t="str">
        <x:f>IF(D8="","",COUNTA($C$7:C8)-COUNTBLANK($C$7:C8)+1)</x:f>
        <x:v/>
      </x:c>
      <x:c r="B8" s="156" t="str">
        <x: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x:f>
        <x:v/>
      </x:c>
      <x:c r="C8" s="156" t="str">
        <x:f>IF(D8="","",IF(OR(D8="교육지원과",D8="총무과",D8="인사과"),"직접입력",VLOOKUP(D8,구분표!$A$3:$C$258,3,)))</x:f>
        <x:v/>
      </x:c>
      <x:c r="D8" s="226"/>
      <x:c r="E8" s="213"/>
      <x:c r="F8" s="388" t="str">
        <x:f>IF($E8="","",IF($E8="2추","직접입력","-"))</x:f>
        <x:v/>
      </x:c>
      <x:c r="G8" s="388" t="str">
        <x:f>IF($E8="","",IF($E8="2추","직접입력","-"))</x:f>
        <x:v/>
      </x:c>
      <x:c r="H8" s="214"/>
      <x:c r="I8" s="214"/>
      <x:c r="J8" s="213"/>
      <x:c r="K8" s="215"/>
      <x:c r="L8" s="459" t="str">
        <x:f>IF($E8="","",IF(OR($E8="2추",$E8="1추",$E8="본예산"),"금액입력","-"))</x:f>
        <x:v/>
      </x:c>
      <x:c r="M8" s="459" t="str">
        <x:f>IF($E8="","",IF($E8="2추","금액입력","-"))</x:f>
        <x:v/>
      </x:c>
      <x:c r="N8" s="461" t="str">
        <x:f>IF($E8="","",SUM(L8:M8))</x:f>
        <x:v/>
      </x:c>
      <x:c r="O8" s="460"/>
      <x:c r="P8" s="461">
        <x:f>SUM(N8:O8)</x:f>
        <x:v>0</x:v>
      </x:c>
      <x:c r="Q8" s="462"/>
      <x:c r="R8" s="463">
        <x:f>SUM(N8,Q8)</x:f>
        <x:v>0</x:v>
      </x:c>
      <x:c r="S8" s="162" t="str">
        <x:f>IF(AND((P8=0),(R8&gt;0)),"O",IF(AND((O8&lt;0),(P8-R8&lt;0)),"O","X"))</x:f>
        <x:v>X</x:v>
      </x:c>
      <x:c r="T8" s="230"/>
      <x:c r="U8" s="229"/>
      <x:c r="V8" s="231"/>
      <x:c r="W8" s="232"/>
      <x:c r="X8" s="231"/>
      <x:c r="Y8" s="539"/>
      <x:c r="Z8" s="227"/>
    </x:row>
    <x:row r="9" spans="1:26" s="165" customFormat="1" ht="69.950000000000003" customHeight="1">
      <x:c r="A9" s="155" t="str">
        <x:f>IF(D9="","",COUNTA($C$7:C9)-COUNTBLANK($C$7:C9)+1)</x:f>
        <x:v/>
      </x:c>
      <x:c r="B9" s="156" t="str">
        <x: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x:f>
        <x:v/>
      </x:c>
      <x:c r="C9" s="156" t="str">
        <x:f>IF(D9="","",IF(OR(D9="교육지원과",D9="총무과",D9="인사과"),"직접입력",VLOOKUP(D9,구분표!$A$3:$C$258,3,)))</x:f>
        <x:v/>
      </x:c>
      <x:c r="D9" s="226"/>
      <x:c r="E9" s="213"/>
      <x:c r="F9" s="388" t="str">
        <x:f t="shared" ref="F9:G16" si="2">IF($E9="","",IF($E9="2추","직접입력","-"))</x:f>
        <x:v/>
      </x:c>
      <x:c r="G9" s="388" t="str">
        <x:f t="shared" si="2"/>
        <x:v/>
      </x:c>
      <x:c r="H9" s="214"/>
      <x:c r="I9" s="214"/>
      <x:c r="J9" s="213"/>
      <x:c r="K9" s="215"/>
      <x:c r="L9" s="459" t="str">
        <x:f t="shared" ref="L9:L11" si="3">IF($E9="","",IF(OR($E9="2추",$E9="1추",$E9="본예산"),"금액입력","-"))</x:f>
        <x:v/>
      </x:c>
      <x:c r="M9" s="459" t="str">
        <x:f t="shared" ref="M9:M11" si="4">IF($E9="","",IF($E9="2추","금액입력","-"))</x:f>
        <x:v/>
      </x:c>
      <x:c r="N9" s="461" t="str">
        <x:f t="shared" ref="N9:N11" si="5">IF($E9="","",SUM(L9:M9))</x:f>
        <x:v/>
      </x:c>
      <x:c r="O9" s="460"/>
      <x:c r="P9" s="461">
        <x:f t="shared" ref="P9:P11" si="6">SUM(N9:O9)</x:f>
        <x:v>0</x:v>
      </x:c>
      <x:c r="Q9" s="462"/>
      <x:c r="R9" s="463">
        <x:f t="shared" ref="R9:R11" si="7">SUM(N9,Q9)</x:f>
        <x:v>0</x:v>
      </x:c>
      <x:c r="S9" s="162" t="str">
        <x:f t="shared" ref="S9:S11" si="8">IF(AND((P9=0),(R9&gt;0)),"O",IF(AND((O9&lt;0),(P9-R9&lt;0)),"O","X"))</x:f>
        <x:v>X</x:v>
      </x:c>
      <x:c r="T9" s="230"/>
      <x:c r="U9" s="229"/>
      <x:c r="V9" s="231"/>
      <x:c r="W9" s="232"/>
      <x:c r="X9" s="231"/>
      <x:c r="Y9" s="539"/>
      <x:c r="Z9" s="227"/>
    </x:row>
    <x:row r="10" spans="1:26" s="165" customFormat="1" ht="69.950000000000003" customHeight="1">
      <x:c r="A10" s="155" t="str">
        <x:f>IF(D10="","",COUNTA($C$7:C10)-COUNTBLANK($C$7:C10)+1)</x:f>
        <x:v/>
      </x:c>
      <x:c r="B10" s="156" t="str">
        <x: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x:f>
        <x:v/>
      </x:c>
      <x:c r="C10" s="156" t="str">
        <x:f>IF(D10="","",IF(OR(D10="교육지원과",D10="총무과",D10="인사과"),"직접입력",VLOOKUP(D10,구분표!$A$3:$C$258,3,)))</x:f>
        <x:v/>
      </x:c>
      <x:c r="D10" s="226"/>
      <x:c r="E10" s="213"/>
      <x:c r="F10" s="388" t="str">
        <x:f t="shared" si="2"/>
        <x:v/>
      </x:c>
      <x:c r="G10" s="388" t="str">
        <x:f t="shared" si="2"/>
        <x:v/>
      </x:c>
      <x:c r="H10" s="214"/>
      <x:c r="I10" s="214"/>
      <x:c r="J10" s="213"/>
      <x:c r="K10" s="215"/>
      <x:c r="L10" s="459" t="str">
        <x:f t="shared" si="3"/>
        <x:v/>
      </x:c>
      <x:c r="M10" s="459" t="str">
        <x:f t="shared" si="4"/>
        <x:v/>
      </x:c>
      <x:c r="N10" s="461" t="str">
        <x:f t="shared" si="5"/>
        <x:v/>
      </x:c>
      <x:c r="O10" s="460"/>
      <x:c r="P10" s="461">
        <x:f t="shared" si="6"/>
        <x:v>0</x:v>
      </x:c>
      <x:c r="Q10" s="462"/>
      <x:c r="R10" s="463">
        <x:f t="shared" si="7"/>
        <x:v>0</x:v>
      </x:c>
      <x:c r="S10" s="162" t="str">
        <x:f t="shared" si="8"/>
        <x:v>X</x:v>
      </x:c>
      <x:c r="T10" s="230"/>
      <x:c r="U10" s="229"/>
      <x:c r="V10" s="231"/>
      <x:c r="W10" s="232"/>
      <x:c r="X10" s="231"/>
      <x:c r="Y10" s="539"/>
      <x:c r="Z10" s="227"/>
    </x:row>
    <x:row r="11" spans="1:26" s="165" customFormat="1" ht="69.950000000000003" customHeight="1">
      <x:c r="A11" s="155" t="str">
        <x:f>IF(D11="","",COUNTA($C$7:C11)-COUNTBLANK($C$7:C11)+1)</x:f>
        <x:v/>
      </x:c>
      <x:c r="B11" s="156" t="str">
        <x: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x:f>
        <x:v/>
      </x:c>
      <x:c r="C11" s="156" t="str">
        <x:f>IF(D11="","",IF(OR(D11="교육지원과",D11="총무과",D11="인사과"),"직접입력",VLOOKUP(D11,구분표!$A$3:$C$258,3,)))</x:f>
        <x:v/>
      </x:c>
      <x:c r="D11" s="226"/>
      <x:c r="E11" s="213"/>
      <x:c r="F11" s="388" t="str">
        <x:f t="shared" si="2"/>
        <x:v/>
      </x:c>
      <x:c r="G11" s="388" t="str">
        <x:f t="shared" si="2"/>
        <x:v/>
      </x:c>
      <x:c r="H11" s="214"/>
      <x:c r="I11" s="214"/>
      <x:c r="J11" s="213"/>
      <x:c r="K11" s="215"/>
      <x:c r="L11" s="459" t="str">
        <x:f t="shared" si="3"/>
        <x:v/>
      </x:c>
      <x:c r="M11" s="459" t="str">
        <x:f t="shared" si="4"/>
        <x:v/>
      </x:c>
      <x:c r="N11" s="461" t="str">
        <x:f t="shared" si="5"/>
        <x:v/>
      </x:c>
      <x:c r="O11" s="460"/>
      <x:c r="P11" s="461">
        <x:f t="shared" si="6"/>
        <x:v>0</x:v>
      </x:c>
      <x:c r="Q11" s="462"/>
      <x:c r="R11" s="463">
        <x:f t="shared" si="7"/>
        <x:v>0</x:v>
      </x:c>
      <x:c r="S11" s="162" t="str">
        <x:f t="shared" si="8"/>
        <x:v>X</x:v>
      </x:c>
      <x:c r="T11" s="230"/>
      <x:c r="U11" s="229"/>
      <x:c r="V11" s="231"/>
      <x:c r="W11" s="232"/>
      <x:c r="X11" s="231"/>
      <x:c r="Y11" s="539"/>
      <x:c r="Z11" s="227"/>
    </x:row>
    <x:row r="12" spans="1:26" ht="69.950000000000003" customHeight="1">
      <x:c r="A12" s="171"/>
      <x:c r="B12" s="888" t="s">
        <x:v>439</x:v>
      </x:c>
      <x:c r="C12" s="888"/>
      <x:c r="D12" s="888"/>
      <x:c r="E12" s="888"/>
      <x:c r="F12" s="888"/>
      <x:c r="G12" s="888"/>
      <x:c r="H12" s="538"/>
      <x:c r="I12" s="172"/>
      <x:c r="J12" s="172"/>
      <x:c r="K12" s="349" t="str">
        <x:f>SUBTOTAL(3,K13:K16)&amp;"건"</x:f>
        <x:v>0건</x:v>
      </x:c>
      <x:c r="L12" s="458">
        <x:f t="shared" ref="L12:R12" si="9">SUBTOTAL(9,L13:L16)</x:f>
        <x:v>0</x:v>
      </x:c>
      <x:c r="M12" s="458">
        <x:f t="shared" si="9"/>
        <x:v>0</x:v>
      </x:c>
      <x:c r="N12" s="458">
        <x:f t="shared" si="9"/>
        <x:v>0</x:v>
      </x:c>
      <x:c r="O12" s="458">
        <x:f t="shared" si="9"/>
        <x:v>0</x:v>
      </x:c>
      <x:c r="P12" s="458">
        <x:f t="shared" si="9"/>
        <x:v>0</x:v>
      </x:c>
      <x:c r="Q12" s="458">
        <x:f t="shared" si="9"/>
        <x:v>0</x:v>
      </x:c>
      <x:c r="R12" s="458">
        <x:f t="shared" si="9"/>
        <x:v>0</x:v>
      </x:c>
      <x:c r="S12" s="171"/>
      <x:c r="T12" s="171"/>
      <x:c r="U12" s="171"/>
      <x:c r="V12" s="171"/>
      <x:c r="W12" s="171"/>
      <x:c r="X12" s="171"/>
      <x:c r="Y12" s="173"/>
      <x:c r="Z12" s="43"/>
    </x:row>
    <x:row r="13" spans="1:26" s="165" customFormat="1" ht="69.950000000000003" customHeight="1">
      <x:c r="A13" s="155" t="str">
        <x:f>IF(D13="","",COUNTA($C$7:C13)-COUNTBLANK($C$7:C13)+2)</x:f>
        <x:v/>
      </x:c>
      <x:c r="B13" s="156" t="str">
        <x: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x:f>
        <x:v/>
      </x:c>
      <x:c r="C13" s="156" t="str">
        <x:f>IF(D13="","",IF(OR(D13="교육지원과",D13="총무과",D13="인사과"),"직접입력",VLOOKUP(D13,구분표!$A$3:$C$258,3,)))</x:f>
        <x:v/>
      </x:c>
      <x:c r="D13" s="226"/>
      <x:c r="E13" s="213"/>
      <x:c r="F13" s="388" t="str">
        <x:f t="shared" si="2"/>
        <x:v/>
      </x:c>
      <x:c r="G13" s="388" t="str">
        <x:f t="shared" si="2"/>
        <x:v/>
      </x:c>
      <x:c r="H13" s="214"/>
      <x:c r="I13" s="214"/>
      <x:c r="J13" s="213"/>
      <x:c r="K13" s="215"/>
      <x:c r="L13" s="459" t="str">
        <x:f>IF($E13="","",IF(OR($E13="2추",$E13="1추",$E13="본예산"),"금액입력","-"))</x:f>
        <x:v/>
      </x:c>
      <x:c r="M13" s="459" t="str">
        <x:f>IF($E13="","",IF($E13="2추","금액입력","-"))</x:f>
        <x:v/>
      </x:c>
      <x:c r="N13" s="461" t="str">
        <x:f t="shared" ref="N13:N16" si="10">IF($E13="","",SUM(L13:M13))</x:f>
        <x:v/>
      </x:c>
      <x:c r="O13" s="460"/>
      <x:c r="P13" s="461">
        <x:f t="shared" ref="P13:P16" si="11">SUM(N13:O13)</x:f>
        <x:v>0</x:v>
      </x:c>
      <x:c r="Q13" s="462"/>
      <x:c r="R13" s="463">
        <x:f t="shared" ref="R13:R16" si="12">SUM(N13,Q13)</x:f>
        <x:v>0</x:v>
      </x:c>
      <x:c r="S13" s="162" t="str">
        <x:f t="shared" ref="S13:S16" si="13">IF(AND((P13=0),(R13&gt;0)),"O",IF(AND((O13&lt;0),(P13-R13&lt;0)),"O","X"))</x:f>
        <x:v>X</x:v>
      </x:c>
      <x:c r="T13" s="230"/>
      <x:c r="U13" s="229"/>
      <x:c r="V13" s="231"/>
      <x:c r="W13" s="232"/>
      <x:c r="X13" s="231"/>
      <x:c r="Y13" s="539"/>
      <x:c r="Z13" s="227"/>
    </x:row>
    <x:row r="14" spans="1:26" s="165" customFormat="1" ht="69.950000000000003" customHeight="1">
      <x:c r="A14" s="155" t="str">
        <x:f>IF(D14="","",COUNTA($C$7:C14)-COUNTBLANK($C$7:C14)+2)</x:f>
        <x:v/>
      </x:c>
      <x:c r="B14" s="156" t="str">
        <x: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x:f>
        <x:v/>
      </x:c>
      <x:c r="C14" s="156" t="str">
        <x:f>IF(D14="","",IF(OR(D14="교육지원과",D14="총무과",D14="인사과"),"직접입력",VLOOKUP(D14,구분표!$A$3:$C$258,3,)))</x:f>
        <x:v/>
      </x:c>
      <x:c r="D14" s="226"/>
      <x:c r="E14" s="213"/>
      <x:c r="F14" s="388" t="str">
        <x:f t="shared" si="2"/>
        <x:v/>
      </x:c>
      <x:c r="G14" s="388" t="str">
        <x:f t="shared" si="2"/>
        <x:v/>
      </x:c>
      <x:c r="H14" s="214"/>
      <x:c r="I14" s="214"/>
      <x:c r="J14" s="213"/>
      <x:c r="K14" s="215"/>
      <x:c r="L14" s="459" t="str">
        <x:f t="shared" ref="L14:L16" si="14">IF($E14="","",IF(OR($E14="2추",$E14="1추",$E14="본예산"),"금액입력","-"))</x:f>
        <x:v/>
      </x:c>
      <x:c r="M14" s="459" t="str">
        <x:f t="shared" ref="M14:M16" si="15">IF($E14="","",IF($E14="2추","금액입력","-"))</x:f>
        <x:v/>
      </x:c>
      <x:c r="N14" s="461" t="str">
        <x:f t="shared" si="10"/>
        <x:v/>
      </x:c>
      <x:c r="O14" s="460"/>
      <x:c r="P14" s="461">
        <x:f t="shared" si="11"/>
        <x:v>0</x:v>
      </x:c>
      <x:c r="Q14" s="462"/>
      <x:c r="R14" s="463">
        <x:f t="shared" si="12"/>
        <x:v>0</x:v>
      </x:c>
      <x:c r="S14" s="162" t="str">
        <x:f t="shared" si="13"/>
        <x:v>X</x:v>
      </x:c>
      <x:c r="T14" s="230"/>
      <x:c r="U14" s="229"/>
      <x:c r="V14" s="231"/>
      <x:c r="W14" s="232"/>
      <x:c r="X14" s="231"/>
      <x:c r="Y14" s="539"/>
      <x:c r="Z14" s="227"/>
    </x:row>
    <x:row r="15" spans="1:26" s="165" customFormat="1" ht="69.950000000000003" customHeight="1">
      <x:c r="A15" s="155" t="str">
        <x:f>IF(D15="","",COUNTA($C$7:C15)-COUNTBLANK($C$7:C15)+2)</x:f>
        <x:v/>
      </x:c>
      <x:c r="B15" s="156" t="str">
        <x: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x:f>
        <x:v/>
      </x:c>
      <x:c r="C15" s="156" t="str">
        <x:f>IF(D15="","",IF(OR(D15="교육지원과",D15="총무과",D15="인사과"),"직접입력",VLOOKUP(D15,구분표!$A$3:$C$258,3,)))</x:f>
        <x:v/>
      </x:c>
      <x:c r="D15" s="226"/>
      <x:c r="E15" s="213"/>
      <x:c r="F15" s="388" t="str">
        <x:f t="shared" si="2"/>
        <x:v/>
      </x:c>
      <x:c r="G15" s="388" t="str">
        <x:f t="shared" si="2"/>
        <x:v/>
      </x:c>
      <x:c r="H15" s="214"/>
      <x:c r="I15" s="214"/>
      <x:c r="J15" s="213"/>
      <x:c r="K15" s="215"/>
      <x:c r="L15" s="459" t="str">
        <x:f t="shared" si="14"/>
        <x:v/>
      </x:c>
      <x:c r="M15" s="459" t="str">
        <x:f t="shared" si="15"/>
        <x:v/>
      </x:c>
      <x:c r="N15" s="461" t="str">
        <x:f t="shared" si="10"/>
        <x:v/>
      </x:c>
      <x:c r="O15" s="460"/>
      <x:c r="P15" s="461">
        <x:f t="shared" si="11"/>
        <x:v>0</x:v>
      </x:c>
      <x:c r="Q15" s="462"/>
      <x:c r="R15" s="463">
        <x:f t="shared" si="12"/>
        <x:v>0</x:v>
      </x:c>
      <x:c r="S15" s="162" t="str">
        <x:f t="shared" si="13"/>
        <x:v>X</x:v>
      </x:c>
      <x:c r="T15" s="230"/>
      <x:c r="U15" s="229"/>
      <x:c r="V15" s="231"/>
      <x:c r="W15" s="232"/>
      <x:c r="X15" s="231"/>
      <x:c r="Y15" s="539"/>
      <x:c r="Z15" s="227"/>
    </x:row>
    <x:row r="16" spans="1:26" s="165" customFormat="1" ht="69.950000000000003" customHeight="1">
      <x:c r="A16" s="155" t="str">
        <x:f>IF(D16="","",COUNTA($C$7:C16)-COUNTBLANK($C$7:C16)+2)</x:f>
        <x:v/>
      </x:c>
      <x:c r="B16" s="156" t="str">
        <x: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x:f>
        <x:v/>
      </x:c>
      <x:c r="C16" s="156" t="str">
        <x:f>IF(D16="","",IF(OR(D16="교육지원과",D16="총무과",D16="인사과"),"직접입력",VLOOKUP(D16,구분표!$A$3:$C$258,3,)))</x:f>
        <x:v/>
      </x:c>
      <x:c r="D16" s="226"/>
      <x:c r="E16" s="213"/>
      <x:c r="F16" s="388" t="str">
        <x:f t="shared" si="2"/>
        <x:v/>
      </x:c>
      <x:c r="G16" s="388" t="str">
        <x:f t="shared" si="2"/>
        <x:v/>
      </x:c>
      <x:c r="H16" s="214"/>
      <x:c r="I16" s="214"/>
      <x:c r="J16" s="213"/>
      <x:c r="K16" s="215"/>
      <x:c r="L16" s="459" t="str">
        <x:f t="shared" si="14"/>
        <x:v/>
      </x:c>
      <x:c r="M16" s="459" t="str">
        <x:f t="shared" si="15"/>
        <x:v/>
      </x:c>
      <x:c r="N16" s="461" t="str">
        <x:f t="shared" si="10"/>
        <x:v/>
      </x:c>
      <x:c r="O16" s="460"/>
      <x:c r="P16" s="461">
        <x:f t="shared" si="11"/>
        <x:v>0</x:v>
      </x:c>
      <x:c r="Q16" s="462"/>
      <x:c r="R16" s="463">
        <x:f t="shared" si="12"/>
        <x:v>0</x:v>
      </x:c>
      <x:c r="S16" s="162" t="str">
        <x:f t="shared" si="13"/>
        <x:v>X</x:v>
      </x:c>
      <x:c r="T16" s="230"/>
      <x:c r="U16" s="229"/>
      <x:c r="V16" s="231"/>
      <x:c r="W16" s="232"/>
      <x:c r="X16" s="231"/>
      <x:c r="Y16" s="539"/>
      <x:c r="Z16" s="227"/>
    </x:row>
    <x:row r="17" spans="1:26" ht="36" customHeight="1">
      <x:c r="A17" s="77"/>
      <x:c r="B17" s="51"/>
      <x:c r="C17" s="51"/>
      <x:c r="D17" s="51"/>
      <x:c r="E17" s="51"/>
      <x:c r="I17" s="44"/>
      <x:c r="J17" s="44"/>
      <x:c r="K17" s="44"/>
      <x:c r="L17" s="44"/>
      <x:c r="M17" s="44"/>
      <x:c r="N17" s="489"/>
      <x:c r="O17" s="489"/>
      <x:c r="P17" s="489"/>
      <x:c r="Q17" s="489"/>
      <x:c r="R17" s="489"/>
      <x:c r="S17" s="44"/>
      <x:c r="T17" s="44"/>
      <x:c r="U17" s="44"/>
      <x:c r="V17" s="44"/>
      <x:c r="W17" s="44"/>
      <x:c r="X17" s="44"/>
      <x:c r="Y17" s="51"/>
      <x:c r="Z17" s="44"/>
    </x:row>
    <x:row r="18" spans="1:26" customHeight="1">
      <x:c r="A18" s="44"/>
      <x:c r="B18" s="51"/>
      <x:c r="C18" s="51"/>
      <x:c r="D18" s="51"/>
      <x:c r="E18" s="51"/>
      <x:c r="I18" s="44"/>
      <x:c r="J18" s="44"/>
      <x:c r="K18" s="44"/>
      <x:c r="L18" s="44"/>
      <x:c r="M18" s="44"/>
      <x:c r="N18" s="489"/>
      <x:c r="O18" s="489"/>
      <x:c r="P18" s="489"/>
      <x:c r="Q18" s="489"/>
      <x:c r="R18" s="489"/>
      <x:c r="S18" s="44"/>
      <x:c r="T18" s="44"/>
      <x:c r="U18" s="44"/>
      <x:c r="V18" s="44"/>
      <x:c r="W18" s="44"/>
      <x:c r="X18" s="44"/>
      <x:c r="Y18" s="51"/>
      <x:c r="Z18" s="44"/>
    </x:row>
    <x:row r="19" spans="1:26" customHeight="1">
      <x:c r="A19" s="44"/>
      <x:c r="B19" s="51"/>
      <x:c r="C19" s="51"/>
      <x:c r="D19" s="51"/>
      <x:c r="E19" s="51"/>
      <x:c r="I19" s="44"/>
      <x:c r="J19" s="44"/>
      <x:c r="K19" s="44"/>
      <x:c r="L19" s="44"/>
      <x:c r="M19" s="44"/>
      <x:c r="N19" s="489"/>
      <x:c r="O19" s="489"/>
      <x:c r="P19" s="489"/>
      <x:c r="Q19" s="489"/>
      <x:c r="R19" s="489"/>
      <x:c r="S19" s="44"/>
      <x:c r="T19" s="44"/>
      <x:c r="U19" s="44"/>
      <x:c r="V19" s="44"/>
      <x:c r="W19" s="44"/>
      <x:c r="X19" s="44"/>
      <x:c r="Y19" s="51"/>
      <x:c r="Z19" s="44"/>
    </x:row>
    <x:row r="20" spans="1:26" customHeight="1">
      <x:c r="A20" s="44"/>
      <x:c r="B20" s="51"/>
      <x:c r="C20" s="51"/>
      <x:c r="D20" s="51"/>
      <x:c r="E20" s="51"/>
      <x:c r="I20" s="44"/>
      <x:c r="J20" s="44"/>
      <x:c r="K20" s="44"/>
      <x:c r="L20" s="44"/>
      <x:c r="M20" s="44"/>
      <x:c r="N20" s="489"/>
      <x:c r="O20" s="489"/>
      <x:c r="P20" s="489"/>
      <x:c r="Q20" s="489"/>
      <x:c r="R20" s="489"/>
      <x:c r="S20" s="44"/>
      <x:c r="T20" s="44"/>
      <x:c r="U20" s="44"/>
      <x:c r="V20" s="44"/>
      <x:c r="W20" s="44"/>
      <x:c r="X20" s="44"/>
      <x:c r="Y20" s="51"/>
      <x:c r="Z20" s="44"/>
    </x:row>
    <x:row r="21" spans="1:26" customHeight="1">
      <x:c r="A21" s="44"/>
      <x:c r="B21" s="51"/>
      <x:c r="C21" s="51"/>
      <x:c r="D21" s="51"/>
      <x:c r="E21" s="51"/>
      <x:c r="I21" s="44"/>
      <x:c r="J21" s="44"/>
      <x:c r="K21" s="44"/>
      <x:c r="L21" s="44"/>
      <x:c r="M21" s="44"/>
      <x:c r="N21" s="489"/>
      <x:c r="O21" s="489"/>
      <x:c r="P21" s="489"/>
      <x:c r="Q21" s="489"/>
      <x:c r="R21" s="489"/>
      <x:c r="S21" s="44"/>
      <x:c r="T21" s="44"/>
      <x:c r="U21" s="44"/>
      <x:c r="V21" s="44"/>
      <x:c r="W21" s="44"/>
      <x:c r="X21" s="44"/>
      <x:c r="Y21" s="51"/>
      <x:c r="Z21" s="44"/>
    </x:row>
    <x:row r="22" spans="1:26" customHeight="1">
      <x:c r="A22" s="44"/>
      <x:c r="B22" s="51"/>
      <x:c r="C22" s="51"/>
      <x:c r="D22" s="51"/>
      <x:c r="E22" s="51"/>
      <x:c r="I22" s="44"/>
      <x:c r="J22" s="44"/>
      <x:c r="K22" s="44"/>
      <x:c r="L22" s="44"/>
      <x:c r="M22" s="44"/>
      <x:c r="N22" s="489"/>
      <x:c r="O22" s="489"/>
      <x:c r="P22" s="489"/>
      <x:c r="Q22" s="489"/>
      <x:c r="R22" s="489"/>
      <x:c r="S22" s="44"/>
      <x:c r="T22" s="44"/>
      <x:c r="U22" s="44"/>
      <x:c r="V22" s="44"/>
      <x:c r="W22" s="44"/>
      <x:c r="X22" s="44"/>
      <x:c r="Y22" s="51"/>
      <x:c r="Z22" s="44"/>
    </x:row>
    <x:row r="23" spans="1:26" customHeight="1">
      <x:c r="A23" s="44"/>
      <x:c r="B23" s="51"/>
      <x:c r="C23" s="51"/>
      <x:c r="D23" s="51"/>
      <x:c r="E23" s="51"/>
      <x:c r="I23" s="44"/>
      <x:c r="J23" s="44"/>
      <x:c r="K23" s="44"/>
      <x:c r="L23" s="44"/>
      <x:c r="M23" s="44"/>
      <x:c r="N23" s="489"/>
      <x:c r="O23" s="489"/>
      <x:c r="P23" s="489"/>
      <x:c r="Q23" s="489"/>
      <x:c r="R23" s="489"/>
      <x:c r="S23" s="44"/>
      <x:c r="T23" s="44"/>
      <x:c r="U23" s="44"/>
      <x:c r="V23" s="44"/>
      <x:c r="W23" s="44"/>
      <x:c r="X23" s="44"/>
      <x:c r="Y23" s="51"/>
      <x:c r="Z23" s="44"/>
    </x:row>
    <x:row r="24" spans="1:26" customHeight="1">
      <x:c r="A24" s="44"/>
      <x:c r="B24" s="51"/>
      <x:c r="C24" s="51"/>
      <x:c r="D24" s="51"/>
      <x:c r="E24" s="51"/>
      <x:c r="I24" s="44"/>
      <x:c r="J24" s="44"/>
      <x:c r="K24" s="44"/>
      <x:c r="L24" s="44"/>
      <x:c r="M24" s="44"/>
      <x:c r="N24" s="489"/>
      <x:c r="O24" s="489"/>
      <x:c r="P24" s="489"/>
      <x:c r="Q24" s="489"/>
      <x:c r="R24" s="489"/>
      <x:c r="S24" s="44"/>
      <x:c r="T24" s="44"/>
      <x:c r="U24" s="44"/>
      <x:c r="V24" s="44"/>
      <x:c r="W24" s="44"/>
      <x:c r="X24" s="44"/>
      <x:c r="Y24" s="51"/>
      <x:c r="Z24" s="44"/>
    </x:row>
    <x:row r="25" spans="1:26" customHeight="1">
      <x:c r="A25" s="44"/>
      <x:c r="B25" s="51"/>
      <x:c r="C25" s="51"/>
      <x:c r="D25" s="51"/>
      <x:c r="E25" s="51"/>
      <x:c r="I25" s="44"/>
      <x:c r="J25" s="44"/>
      <x:c r="K25" s="44"/>
      <x:c r="L25" s="44"/>
      <x:c r="M25" s="44"/>
      <x:c r="N25" s="489"/>
      <x:c r="O25" s="489"/>
      <x:c r="P25" s="489"/>
      <x:c r="Q25" s="489"/>
      <x:c r="R25" s="489"/>
      <x:c r="S25" s="44"/>
      <x:c r="T25" s="44"/>
      <x:c r="U25" s="44"/>
      <x:c r="V25" s="44"/>
      <x:c r="W25" s="44"/>
      <x:c r="X25" s="44"/>
      <x:c r="Y25" s="51"/>
      <x:c r="Z25" s="44"/>
    </x:row>
    <x:row r="26" spans="1:26" customHeight="1">
      <x:c r="A26" s="44"/>
      <x:c r="B26" s="51"/>
      <x:c r="C26" s="51"/>
      <x:c r="D26" s="51"/>
      <x:c r="E26" s="51"/>
      <x:c r="I26" s="44"/>
      <x:c r="J26" s="44"/>
      <x:c r="K26" s="44"/>
      <x:c r="L26" s="44"/>
      <x:c r="M26" s="44"/>
      <x:c r="N26" s="489"/>
      <x:c r="O26" s="489"/>
      <x:c r="P26" s="489"/>
      <x:c r="Q26" s="489"/>
      <x:c r="R26" s="489"/>
      <x:c r="S26" s="44"/>
      <x:c r="T26" s="44"/>
      <x:c r="U26" s="44"/>
      <x:c r="V26" s="44"/>
      <x:c r="W26" s="44"/>
      <x:c r="X26" s="44"/>
      <x:c r="Y26" s="51"/>
      <x:c r="Z26" s="44"/>
    </x:row>
    <x:row r="27" spans="1:26" customHeight="1">
      <x:c r="A27" s="44"/>
      <x:c r="B27" s="51"/>
      <x:c r="C27" s="51"/>
      <x:c r="D27" s="51"/>
      <x:c r="E27" s="51"/>
      <x:c r="I27" s="44"/>
      <x:c r="J27" s="44"/>
      <x:c r="K27" s="44"/>
      <x:c r="L27" s="44"/>
      <x:c r="M27" s="44"/>
      <x:c r="N27" s="489"/>
      <x:c r="O27" s="489"/>
      <x:c r="P27" s="489"/>
      <x:c r="Q27" s="489"/>
      <x:c r="R27" s="489"/>
      <x:c r="S27" s="44"/>
      <x:c r="T27" s="44"/>
      <x:c r="U27" s="44"/>
      <x:c r="V27" s="44"/>
      <x:c r="W27" s="44"/>
      <x:c r="X27" s="44"/>
      <x:c r="Y27" s="51"/>
      <x:c r="Z27" s="44"/>
    </x:row>
    <x:row r="28" spans="1:26" customHeight="1">
      <x:c r="A28" s="44"/>
      <x:c r="B28" s="51"/>
      <x:c r="C28" s="51"/>
      <x:c r="D28" s="51"/>
      <x:c r="E28" s="51"/>
      <x:c r="I28" s="44"/>
      <x:c r="J28" s="44"/>
      <x:c r="K28" s="44"/>
      <x:c r="L28" s="44"/>
      <x:c r="M28" s="44"/>
      <x:c r="N28" s="489"/>
      <x:c r="O28" s="489"/>
      <x:c r="P28" s="489"/>
      <x:c r="Q28" s="489"/>
      <x:c r="R28" s="489"/>
      <x:c r="S28" s="44"/>
      <x:c r="T28" s="44"/>
      <x:c r="U28" s="44"/>
      <x:c r="V28" s="44"/>
      <x:c r="W28" s="44"/>
      <x:c r="X28" s="44"/>
      <x:c r="Y28" s="51"/>
      <x:c r="Z28" s="44"/>
    </x:row>
    <x:row r="29" spans="1:26" customHeight="1">
      <x:c r="A29" s="44"/>
      <x:c r="B29" s="51"/>
      <x:c r="C29" s="51"/>
      <x:c r="D29" s="51"/>
      <x:c r="E29" s="51"/>
      <x:c r="I29" s="44"/>
      <x:c r="J29" s="44"/>
      <x:c r="K29" s="44"/>
      <x:c r="L29" s="44"/>
      <x:c r="M29" s="44"/>
      <x:c r="N29" s="489"/>
      <x:c r="O29" s="489"/>
      <x:c r="P29" s="489"/>
      <x:c r="Q29" s="489"/>
      <x:c r="R29" s="489"/>
      <x:c r="S29" s="44"/>
      <x:c r="T29" s="44"/>
      <x:c r="U29" s="44"/>
      <x:c r="V29" s="44"/>
      <x:c r="W29" s="44"/>
      <x:c r="X29" s="44"/>
      <x:c r="Y29" s="51"/>
      <x:c r="Z29" s="44"/>
    </x:row>
    <x:row r="30" spans="1:26" customHeight="1">
      <x:c r="A30" s="44"/>
      <x:c r="B30" s="51"/>
      <x:c r="C30" s="51"/>
      <x:c r="D30" s="51"/>
      <x:c r="E30" s="51"/>
      <x:c r="I30" s="44"/>
      <x:c r="J30" s="44"/>
      <x:c r="K30" s="44"/>
      <x:c r="L30" s="44"/>
      <x:c r="M30" s="44"/>
      <x:c r="N30" s="489"/>
      <x:c r="O30" s="489"/>
      <x:c r="P30" s="489"/>
      <x:c r="Q30" s="489"/>
      <x:c r="R30" s="489"/>
      <x:c r="S30" s="44"/>
      <x:c r="T30" s="44"/>
      <x:c r="U30" s="44"/>
      <x:c r="V30" s="44"/>
      <x:c r="W30" s="44"/>
      <x:c r="X30" s="44"/>
      <x:c r="Y30" s="51"/>
      <x:c r="Z30" s="44"/>
    </x:row>
    <x:row r="31" spans="1:26" customHeight="1">
      <x:c r="A31" s="44"/>
      <x:c r="B31" s="51"/>
      <x:c r="C31" s="51"/>
      <x:c r="D31" s="51"/>
      <x:c r="E31" s="51"/>
      <x:c r="I31" s="44"/>
      <x:c r="J31" s="44"/>
      <x:c r="K31" s="44"/>
      <x:c r="L31" s="44"/>
      <x:c r="M31" s="44"/>
      <x:c r="N31" s="489"/>
      <x:c r="O31" s="489"/>
      <x:c r="P31" s="489"/>
      <x:c r="Q31" s="489"/>
      <x:c r="R31" s="489"/>
      <x:c r="S31" s="44"/>
      <x:c r="T31" s="44"/>
      <x:c r="U31" s="44"/>
      <x:c r="V31" s="44"/>
      <x:c r="W31" s="44"/>
      <x:c r="X31" s="44"/>
      <x:c r="Y31" s="51"/>
      <x:c r="Z31" s="44"/>
    </x:row>
    <x:row r="32" spans="1:26" customHeight="1">
      <x:c r="A32" s="44"/>
      <x:c r="B32" s="51"/>
      <x:c r="C32" s="51"/>
      <x:c r="D32" s="51"/>
      <x:c r="E32" s="51"/>
      <x:c r="I32" s="44"/>
      <x:c r="J32" s="44"/>
      <x:c r="K32" s="44"/>
      <x:c r="L32" s="44"/>
      <x:c r="M32" s="44"/>
      <x:c r="N32" s="489"/>
      <x:c r="O32" s="489"/>
      <x:c r="P32" s="489"/>
      <x:c r="Q32" s="489"/>
      <x:c r="R32" s="489"/>
      <x:c r="S32" s="44"/>
      <x:c r="T32" s="44"/>
      <x:c r="U32" s="44"/>
      <x:c r="V32" s="44"/>
      <x:c r="W32" s="44"/>
      <x:c r="X32" s="44"/>
      <x:c r="Y32" s="51"/>
      <x:c r="Z32" s="44"/>
    </x:row>
    <x:row r="33" spans="1:26" customHeight="1">
      <x:c r="A33" s="44"/>
      <x:c r="B33" s="51"/>
      <x:c r="C33" s="51"/>
      <x:c r="D33" s="51"/>
      <x:c r="E33" s="51"/>
      <x:c r="I33" s="44"/>
      <x:c r="J33" s="44"/>
      <x:c r="K33" s="44"/>
      <x:c r="L33" s="44"/>
      <x:c r="M33" s="44"/>
      <x:c r="N33" s="489"/>
      <x:c r="O33" s="489"/>
      <x:c r="P33" s="489"/>
      <x:c r="Q33" s="489"/>
      <x:c r="R33" s="489"/>
      <x:c r="S33" s="44"/>
      <x:c r="T33" s="44"/>
      <x:c r="U33" s="44"/>
      <x:c r="V33" s="44"/>
      <x:c r="W33" s="44"/>
      <x:c r="X33" s="44"/>
      <x:c r="Y33" s="51"/>
      <x:c r="Z33" s="44"/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autoFilter ref="A6:Z16"/>
  <x:mergeCells count="28">
    <x:mergeCell ref="A1:Y1"/>
    <x:mergeCell ref="A4:A5"/>
    <x:mergeCell ref="B4:B5"/>
    <x:mergeCell ref="C4:C5"/>
    <x:mergeCell ref="D4:D5"/>
    <x:mergeCell ref="E4:E5"/>
    <x:mergeCell ref="F4:F5"/>
    <x:mergeCell ref="G4:G5"/>
    <x:mergeCell ref="Y4:Y5"/>
    <x:mergeCell ref="Q4:Q5"/>
    <x:mergeCell ref="R4:R5"/>
    <x:mergeCell ref="S4:S5"/>
    <x:mergeCell ref="T4:T5"/>
    <x:mergeCell ref="U4:U5"/>
    <x:mergeCell ref="V4:V5"/>
    <x:mergeCell ref="H4:H5"/>
    <x:mergeCell ref="B7:G7"/>
    <x:mergeCell ref="B12:G12"/>
    <x:mergeCell ref="W4:W5"/>
    <x:mergeCell ref="X4:X5"/>
    <x:mergeCell ref="I4:I5"/>
    <x:mergeCell ref="J4:J5"/>
    <x:mergeCell ref="K4:K5"/>
    <x:mergeCell ref="N4:N5"/>
    <x:mergeCell ref="O4:O5"/>
    <x:mergeCell ref="P4:P5"/>
    <x:mergeCell ref="L4:L5"/>
    <x:mergeCell ref="M4:M5"/>
  </x:mergeCells>
  <x:conditionalFormatting sqref="F1:H3 F6:H7 F12:H12 F17:H1048576 H4:H4">
    <x:cfRule type="containsText" dxfId="648" priority="94" operator="containsText" text="직접입력">
      <x:formula>NOT(ISERROR(SEARCH("직접입력",F1)))</x:formula>
    </x:cfRule>
  </x:conditionalFormatting>
  <x:conditionalFormatting sqref="N1:N3 N6:N6 N17:N1048576">
    <x:cfRule type="containsText" dxfId="647" priority="93" operator="containsText" text="금액입력">
      <x:formula>NOT(ISERROR(SEARCH("금액입력",N1)))</x:formula>
    </x:cfRule>
  </x:conditionalFormatting>
  <x:conditionalFormatting sqref="K1:M3 K17:M1048576 K4:K16">
    <x:cfRule type="containsText" dxfId="646" priority="92" operator="containsText" text="부기명 입력">
      <x:formula>NOT(ISERROR(SEARCH("부기명 입력",K1)))</x:formula>
    </x:cfRule>
  </x:conditionalFormatting>
  <x:conditionalFormatting sqref="L7:R7">
    <x:cfRule type="containsText" dxfId="645" priority="78" operator="containsText" text="금액입력">
      <x:formula>NOT(ISERROR(SEARCH("금액입력",L7)))</x:formula>
    </x:cfRule>
  </x:conditionalFormatting>
  <x:conditionalFormatting sqref="L6:M6">
    <x:cfRule type="containsText" dxfId="644" priority="77" operator="containsText" text="금액입력">
      <x:formula>NOT(ISERROR(SEARCH("금액입력",L6)))</x:formula>
    </x:cfRule>
  </x:conditionalFormatting>
  <x:conditionalFormatting sqref="L12:R12">
    <x:cfRule type="containsText" dxfId="643" priority="61" operator="containsText" text="금액입력">
      <x:formula>NOT(ISERROR(SEARCH("금액입력",L12)))</x:formula>
    </x:cfRule>
  </x:conditionalFormatting>
  <x:conditionalFormatting sqref="N8:N11 N13:N16">
    <x:cfRule type="containsText" dxfId="642" priority="70" operator="containsText" text="금액입력">
      <x:formula>NOT(ISERROR(SEARCH("금액입력",N8)))</x:formula>
    </x:cfRule>
  </x:conditionalFormatting>
  <x:conditionalFormatting sqref="N4:N5">
    <x:cfRule type="containsText" dxfId="641" priority="56" operator="containsText" text="금액입력">
      <x:formula>NOT(ISERROR(SEARCH("금액입력",N4)))</x:formula>
    </x:cfRule>
  </x:conditionalFormatting>
  <x:conditionalFormatting sqref="F4:G5">
    <x:cfRule type="containsText" dxfId="640" priority="54" operator="containsText" text="직접입력">
      <x:formula>NOT(ISERROR(SEARCH("직접입력",F4)))</x:formula>
    </x:cfRule>
  </x:conditionalFormatting>
  <x:conditionalFormatting sqref="L4:M5">
    <x:cfRule type="containsText" dxfId="639" priority="53" operator="containsText" text="금액입력">
      <x:formula>NOT(ISERROR(SEARCH("금액입력",L4)))</x:formula>
    </x:cfRule>
  </x:conditionalFormatting>
  <x:conditionalFormatting sqref="B8:C11 B13:C16">
    <x:cfRule type="containsText" dxfId="638" priority="45" operator="containsText" text="직접입력">
      <x:formula>NOT(ISERROR(SEARCH("직접입력",B8)))</x:formula>
    </x:cfRule>
  </x:conditionalFormatting>
  <x:conditionalFormatting sqref="F8:G11 F13:G16">
    <x:cfRule type="containsText" dxfId="637" priority="30" operator="containsText" text="직접입력">
      <x:formula>NOT(ISERROR(SEARCH("직접입력",F8)))</x:formula>
    </x:cfRule>
  </x:conditionalFormatting>
  <x:conditionalFormatting sqref="L8:L11">
    <x:cfRule type="containsText" dxfId="636" priority="27" operator="containsText" text="부기명 입력">
      <x:formula>NOT(ISERROR(SEARCH("부기명 입력",L8)))</x:formula>
    </x:cfRule>
  </x:conditionalFormatting>
  <x:conditionalFormatting sqref="L8:L11">
    <x:cfRule type="containsText" dxfId="635" priority="26" operator="containsText" text="금액입력">
      <x:formula>NOT(ISERROR(SEARCH("금액입력",L8)))</x:formula>
    </x:cfRule>
  </x:conditionalFormatting>
  <x:conditionalFormatting sqref="M8:M11">
    <x:cfRule type="containsText" dxfId="634" priority="25" operator="containsText" text="금액입력">
      <x:formula>NOT(ISERROR(SEARCH("금액입력",M8)))</x:formula>
    </x:cfRule>
  </x:conditionalFormatting>
  <x:conditionalFormatting sqref="L8:L11">
    <x:cfRule type="containsText" dxfId="633" priority="24" operator="containsText" text="부기명 입력">
      <x:formula>NOT(ISERROR(SEARCH("부기명 입력",L8)))</x:formula>
    </x:cfRule>
  </x:conditionalFormatting>
  <x:conditionalFormatting sqref="L8:L11">
    <x:cfRule type="containsText" dxfId="632" priority="23" operator="containsText" text="금액입력">
      <x:formula>NOT(ISERROR(SEARCH("금액입력",L8)))</x:formula>
    </x:cfRule>
  </x:conditionalFormatting>
  <x:conditionalFormatting sqref="M8:M11">
    <x:cfRule type="containsText" dxfId="631" priority="22" operator="containsText" text="금액입력">
      <x:formula>NOT(ISERROR(SEARCH("금액입력",M8)))</x:formula>
    </x:cfRule>
  </x:conditionalFormatting>
  <x:conditionalFormatting sqref="L13:L16">
    <x:cfRule type="containsText" dxfId="630" priority="6" operator="containsText" text="부기명 입력">
      <x:formula>NOT(ISERROR(SEARCH("부기명 입력",L13)))</x:formula>
    </x:cfRule>
  </x:conditionalFormatting>
  <x:conditionalFormatting sqref="L13:L16">
    <x:cfRule type="containsText" dxfId="629" priority="5" operator="containsText" text="금액입력">
      <x:formula>NOT(ISERROR(SEARCH("금액입력",L13)))</x:formula>
    </x:cfRule>
  </x:conditionalFormatting>
  <x:conditionalFormatting sqref="M13:M16">
    <x:cfRule type="containsText" dxfId="628" priority="4" operator="containsText" text="금액입력">
      <x:formula>NOT(ISERROR(SEARCH("금액입력",M13)))</x:formula>
    </x:cfRule>
  </x:conditionalFormatting>
  <x:conditionalFormatting sqref="L13:L16">
    <x:cfRule type="containsText" dxfId="627" priority="3" operator="containsText" text="부기명 입력">
      <x:formula>NOT(ISERROR(SEARCH("부기명 입력",L13)))</x:formula>
    </x:cfRule>
  </x:conditionalFormatting>
  <x:conditionalFormatting sqref="L13:L16">
    <x:cfRule type="containsText" dxfId="626" priority="2" operator="containsText" text="금액입력">
      <x:formula>NOT(ISERROR(SEARCH("금액입력",L13)))</x:formula>
    </x:cfRule>
  </x:conditionalFormatting>
  <x:conditionalFormatting sqref="M13:M16">
    <x:cfRule type="containsText" dxfId="625" priority="1" operator="containsText" text="금액입력">
      <x:formula>NOT(ISERROR(SEARCH("금액입력",M13)))</x:formula>
    </x:cfRule>
  </x:conditionalFormatting>
  <x:dataValidations count="3">
    <x:dataValidation type="list" allowBlank="1" showInputMessage="1" showErrorMessage="1" sqref="E6:E6">
      <x:formula1>"본예산, 신규"</x:formula1>
    </x:dataValidation>
    <x:dataValidation type="list" allowBlank="1" showInputMessage="1" showErrorMessage="1" sqref="V8:V11 V13:V16">
      <x:formula1>"동의, 부동의, 미실시"</x:formula1>
    </x:dataValidation>
    <x:dataValidation type="list" allowBlank="1" showInputMessage="1" showErrorMessage="1" sqref="E13:E16 E8:E11">
      <x:formula1>"본예산, 1추, 2추, 신규"</x:formula1>
    </x:dataValidation>
  </x:dataValidation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35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  <x:legacyDrawing r:id="rId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>
    <x:tabColor rgb="ff7030a0"/>
    <x:pageSetUpPr autoPageBreaks="1" fitToPage="1"/>
  </x:sheetPr>
  <x:dimension ref="A1:AB46"/>
  <x:sheetViews>
    <x:sheetView view="pageBreakPreview" topLeftCell="A1" zoomScale="40" zoomScaleNormal="60" zoomScaleSheetLayoutView="40" workbookViewId="0">
      <x:pane xSplit="0" ySplit="4" topLeftCell="A5" activePane="bottomLeft" state="frozen"/>
      <x:selection pane="bottomLeft" activeCell="A12" activeCellId="0" sqref="A12:A12"/>
    </x:sheetView>
  </x:sheetViews>
  <x:sheetFormatPr defaultColWidth="9" defaultRowHeight="50.100000000000001" customHeight="1"/>
  <x:cols>
    <x:col min="1" max="1" width="7.875" style="23" bestFit="1" customWidth="1"/>
    <x:col min="2" max="2" width="22.375" style="49" bestFit="1" customWidth="1"/>
    <x:col min="3" max="3" width="20.625" style="49" customWidth="1"/>
    <x:col min="4" max="4" width="19.75" style="49" customWidth="1"/>
    <x:col min="5" max="5" width="10.375" style="49" bestFit="1" customWidth="1"/>
    <x:col min="6" max="7" width="15.625" style="21" customWidth="1"/>
    <x:col min="8" max="8" width="20.375" style="27" bestFit="1" customWidth="1"/>
    <x:col min="9" max="10" width="16.125" style="27" bestFit="1" customWidth="1"/>
    <x:col min="11" max="11" width="37" style="27" customWidth="1"/>
    <x:col min="12" max="12" width="33.5" style="27" customWidth="1"/>
    <x:col min="13" max="14" width="25.625" style="27" customWidth="1"/>
    <x:col min="15" max="18" width="25.625" style="454" customWidth="1"/>
    <x:col min="19" max="19" width="25.625" style="478" customWidth="1"/>
    <x:col min="20" max="20" width="12.625" style="21" customWidth="1"/>
    <x:col min="21" max="21" width="19.625" style="32" bestFit="1" customWidth="1"/>
    <x:col min="22" max="22" width="26.625" style="33" bestFit="1" customWidth="1"/>
    <x:col min="23" max="23" width="14.875" style="34" bestFit="1" customWidth="1"/>
    <x:col min="24" max="24" width="25.625" style="22" customWidth="1"/>
    <x:col min="25" max="25" width="36.25" style="22" customWidth="1"/>
    <x:col min="26" max="26" width="16.5" style="21" bestFit="1" customWidth="1"/>
    <x:col min="27" max="27" width="3.625" style="21" customWidth="1"/>
    <x:col min="28" max="28" width="9" style="21" customWidth="1"/>
    <x:col min="29" max="16384" width="9" style="21"/>
  </x:cols>
  <x:sheetData>
    <x:row r="1" spans="1:26" ht="93" customHeight="1">
      <x:c r="A1" s="914" t="s">
        <x:v>1445</x:v>
      </x:c>
      <x:c r="B1" s="914"/>
      <x:c r="C1" s="914"/>
      <x:c r="D1" s="914"/>
      <x:c r="E1" s="914"/>
      <x:c r="F1" s="914"/>
      <x:c r="G1" s="914"/>
      <x:c r="H1" s="914"/>
      <x:c r="I1" s="914"/>
      <x:c r="J1" s="914"/>
      <x:c r="K1" s="914"/>
      <x:c r="L1" s="914"/>
      <x:c r="M1" s="914"/>
      <x:c r="N1" s="914"/>
      <x:c r="O1" s="914"/>
      <x:c r="P1" s="914"/>
      <x:c r="Q1" s="914"/>
      <x:c r="R1" s="914"/>
      <x:c r="S1" s="914"/>
      <x:c r="T1" s="914"/>
      <x:c r="U1" s="914"/>
      <x:c r="V1" s="914"/>
      <x:c r="W1" s="914"/>
      <x:c r="X1" s="914"/>
      <x:c r="Y1" s="914"/>
      <x:c r="Z1" s="914"/>
    </x:row>
    <x:row r="2" spans="2:26" ht="39.75" customHeight="1">
      <x:c r="B2" s="915"/>
      <x:c r="C2" s="915"/>
      <x:c r="D2" s="915"/>
      <x:c r="E2" s="915"/>
      <x:c r="F2" s="915"/>
      <x:c r="G2" s="915"/>
      <x:c r="H2" s="915"/>
      <x:c r="I2" s="915"/>
      <x:c r="J2" s="915"/>
      <x:c r="K2" s="915"/>
      <x:c r="L2" s="915"/>
      <x:c r="M2" s="550"/>
      <x:c r="N2" s="550"/>
      <x:c r="O2" s="496"/>
      <x:c r="P2" s="473">
        <x:f>SUM(P6:P119)/2</x:f>
        <x:v>0</x:v>
      </x:c>
      <x:c r="Q2" s="473">
        <x:f>SUM(Q6:Q119)/2</x:f>
        <x:v>0</x:v>
      </x:c>
      <x:c r="R2" s="473">
        <x:f>SUM(R6:R119)/2</x:f>
        <x:v>0</x:v>
      </x:c>
      <x:c r="S2" s="473">
        <x:f>SUM(S6:S119)/2</x:f>
        <x:v>0</x:v>
      </x:c>
      <x:c r="T2" s="74"/>
      <x:c r="U2" s="31"/>
      <x:c r="V2" s="31"/>
      <x:c r="W2" s="35"/>
      <x:c r="X2" s="71"/>
      <x:c r="Y2" s="71"/>
      <x:c r="Z2" s="71" t="s">
        <x:v>1513</x:v>
      </x:c>
    </x:row>
    <x:row r="3" spans="1:26" s="329" customFormat="1" ht="60" customHeight="1">
      <x:c r="A3" s="893" t="s">
        <x:v>116</x:v>
      </x:c>
      <x:c r="B3" s="904" t="s">
        <x:v>1933</x:v>
      </x:c>
      <x:c r="C3" s="904" t="s">
        <x:v>74</x:v>
      </x:c>
      <x:c r="D3" s="904" t="s">
        <x:v>94</x:v>
      </x:c>
      <x:c r="E3" s="894" t="s">
        <x:v>1320</x:v>
      </x:c>
      <x:c r="F3" s="894" t="s">
        <x:v>1646</x:v>
      </x:c>
      <x:c r="G3" s="894" t="s">
        <x:v>1620</x:v>
      </x:c>
      <x:c r="H3" s="900" t="s">
        <x:v>725</x:v>
      </x:c>
      <x:c r="I3" s="893" t="s">
        <x:v>115</x:v>
      </x:c>
      <x:c r="J3" s="893" t="s">
        <x:v>104</x:v>
      </x:c>
      <x:c r="K3" s="893" t="s">
        <x:v>854</x:v>
      </x:c>
      <x:c r="L3" s="893" t="s">
        <x:v>127</x:v>
      </x:c>
      <x:c r="M3" s="889" t="s">
        <x:v>1412</x:v>
      </x:c>
      <x:c r="N3" s="889" t="s">
        <x:v>1678</x:v>
      </x:c>
      <x:c r="O3" s="889" t="s">
        <x:v>443</x:v>
      </x:c>
      <x:c r="P3" s="902" t="s">
        <x:v>1661</x:v>
      </x:c>
      <x:c r="Q3" s="891" t="s">
        <x:v>1357</x:v>
      </x:c>
      <x:c r="R3" s="902" t="s">
        <x:v>1636</x:v>
      </x:c>
      <x:c r="S3" s="891" t="s">
        <x:v>1359</x:v>
      </x:c>
      <x:c r="T3" s="899" t="s">
        <x:v>1543</x:v>
      </x:c>
      <x:c r="U3" s="891" t="s">
        <x:v>1550</x:v>
      </x:c>
      <x:c r="V3" s="891" t="s">
        <x:v>1549</x:v>
      </x:c>
      <x:c r="W3" s="891" t="s">
        <x:v>1619</x:v>
      </x:c>
      <x:c r="X3" s="899" t="s">
        <x:v>1492</x:v>
      </x:c>
      <x:c r="Y3" s="899" t="s">
        <x:v>551</x:v>
      </x:c>
      <x:c r="Z3" s="899" t="s">
        <x:v>136</x:v>
      </x:c>
    </x:row>
    <x:row r="4" spans="1:26" s="329" customFormat="1" ht="60" customHeight="1">
      <x:c r="A4" s="893"/>
      <x:c r="B4" s="904"/>
      <x:c r="C4" s="904"/>
      <x:c r="D4" s="904"/>
      <x:c r="E4" s="894"/>
      <x:c r="F4" s="894"/>
      <x:c r="G4" s="894"/>
      <x:c r="H4" s="901"/>
      <x:c r="I4" s="893"/>
      <x:c r="J4" s="893"/>
      <x:c r="K4" s="893"/>
      <x:c r="L4" s="893"/>
      <x:c r="M4" s="890"/>
      <x:c r="N4" s="890"/>
      <x:c r="O4" s="890"/>
      <x:c r="P4" s="903"/>
      <x:c r="Q4" s="892"/>
      <x:c r="R4" s="903"/>
      <x:c r="S4" s="892"/>
      <x:c r="T4" s="899"/>
      <x:c r="U4" s="891"/>
      <x:c r="V4" s="891"/>
      <x:c r="W4" s="891"/>
      <x:c r="X4" s="899"/>
      <x:c r="Y4" s="899"/>
      <x:c r="Z4" s="893"/>
    </x:row>
    <x:row r="5" spans="1:27" s="430" customFormat="1" ht="80.099999999999994" customHeight="1">
      <x:c r="A5" s="432"/>
      <x:c r="B5" s="181" t="s">
        <x:v>1323</x:v>
      </x:c>
      <x:c r="C5" s="423" t="s">
        <x:v>100</x:v>
      </x:c>
      <x:c r="D5" s="424"/>
      <x:c r="E5" s="425"/>
      <x:c r="F5" s="433"/>
      <x:c r="G5" s="433"/>
      <x:c r="H5" s="434" t="s">
        <x:v>100</x:v>
      </x:c>
      <x:c r="I5" s="434" t="s">
        <x:v>100</x:v>
      </x:c>
      <x:c r="J5" s="434" t="s">
        <x:v>100</x:v>
      </x:c>
      <x:c r="K5" s="434" t="s">
        <x:v>100</x:v>
      </x:c>
      <x:c r="L5" s="380" t="str">
        <x:f>SUBTOTAL(3,L$7:L$1955)&amp;"건"</x:f>
        <x:v>0건</x:v>
      </x:c>
      <x:c r="M5" s="497">
        <x:f t="shared" ref="M5:N5" si="0">SUBTOTAL(9,M$6:M$1955)</x:f>
        <x:v>0</x:v>
      </x:c>
      <x:c r="N5" s="497">
        <x:f t="shared" si="0"/>
        <x:v>0</x:v>
      </x:c>
      <x:c r="O5" s="497">
        <x:f>SUBTOTAL(9,O$6:O$1955)</x:f>
        <x:v>0</x:v>
      </x:c>
      <x:c r="P5" s="497">
        <x:f>SUBTOTAL(9,P$6:P$1955)</x:f>
        <x:v>0</x:v>
      </x:c>
      <x:c r="Q5" s="497">
        <x:f>SUBTOTAL(9,Q$6:Q$1955)</x:f>
        <x:v>0</x:v>
      </x:c>
      <x:c r="R5" s="497">
        <x:f>SUBTOTAL(9,R$6:R$1955)</x:f>
        <x:v>0</x:v>
      </x:c>
      <x:c r="S5" s="497">
        <x:f>SUBTOTAL(9,S$6:S$1955)</x:f>
        <x:v>0</x:v>
      </x:c>
      <x:c r="T5" s="182"/>
      <x:c r="U5" s="435"/>
      <x:c r="V5" s="436"/>
      <x:c r="W5" s="432"/>
      <x:c r="X5" s="437"/>
      <x:c r="Y5" s="437"/>
      <x:c r="Z5" s="438"/>
      <x:c r="AA5" s="39"/>
    </x:row>
    <x:row r="6" spans="1:27" ht="60" customHeight="1">
      <x:c r="A6" s="174"/>
      <x:c r="B6" s="888" t="s">
        <x:v>437</x:v>
      </x:c>
      <x:c r="C6" s="888"/>
      <x:c r="D6" s="888"/>
      <x:c r="E6" s="888"/>
      <x:c r="F6" s="888"/>
      <x:c r="G6" s="888"/>
      <x:c r="H6" s="175"/>
      <x:c r="I6" s="175"/>
      <x:c r="J6" s="175"/>
      <x:c r="K6" s="175"/>
      <x:c r="L6" s="353" t="str">
        <x:f>SUBTOTAL(3,L7:L10)&amp;"건"</x:f>
        <x:v>0건</x:v>
      </x:c>
      <x:c r="M6" s="477">
        <x:f t="shared" ref="M6:S6" si="1">SUBTOTAL(9,M7:M10)</x:f>
        <x:v>0</x:v>
      </x:c>
      <x:c r="N6" s="477">
        <x:f t="shared" si="1"/>
        <x:v>0</x:v>
      </x:c>
      <x:c r="O6" s="477">
        <x:f t="shared" si="1"/>
        <x:v>0</x:v>
      </x:c>
      <x:c r="P6" s="477">
        <x:f t="shared" si="1"/>
        <x:v>0</x:v>
      </x:c>
      <x:c r="Q6" s="477">
        <x:f t="shared" si="1"/>
        <x:v>0</x:v>
      </x:c>
      <x:c r="R6" s="477">
        <x:f t="shared" si="1"/>
        <x:v>0</x:v>
      </x:c>
      <x:c r="S6" s="477">
        <x:f t="shared" si="1"/>
        <x:v>0</x:v>
      </x:c>
      <x:c r="T6" s="174"/>
      <x:c r="U6" s="176"/>
      <x:c r="V6" s="176"/>
      <x:c r="W6" s="177"/>
      <x:c r="X6" s="178"/>
      <x:c r="Y6" s="178"/>
      <x:c r="Z6" s="82"/>
      <x:c r="AA6" s="44"/>
    </x:row>
    <x:row r="7" spans="1:28" ht="80.099999999999994" customHeight="1">
      <x:c r="A7" s="155" t="str">
        <x:f>IF(D7="","",COUNTA($C$6:C7)-COUNTBLANK($C$6:C7)+1)</x:f>
        <x:v/>
      </x:c>
      <x:c r="B7" s="156" t="str">
        <x: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x:f>
        <x:v/>
      </x:c>
      <x:c r="C7" s="156" t="str">
        <x:f>IF(D7="","",IF(OR(D7="교육지원과",D7="총무과",D7="인사과"),"직접입력",VLOOKUP(D7,구분표!$A$3:$C$258,3,)))</x:f>
        <x:v/>
      </x:c>
      <x:c r="D7" s="226"/>
      <x:c r="E7" s="213"/>
      <x:c r="F7" s="388" t="str">
        <x:f>IF($E7="","",IF($E7="2추","직접입력","-"))</x:f>
        <x:v/>
      </x:c>
      <x:c r="G7" s="388" t="str">
        <x:f>IF($E7="","",IF($E7="2추","직접입력","-"))</x:f>
        <x:v/>
      </x:c>
      <x:c r="H7" s="213"/>
      <x:c r="I7" s="213"/>
      <x:c r="J7" s="213"/>
      <x:c r="K7" s="218"/>
      <x:c r="L7" s="218"/>
      <x:c r="M7" s="459" t="str">
        <x:f>IF($E7="","",IF(OR($E7="2추",$E7="1추",$E7="본예산"),"금액입력","-"))</x:f>
        <x:v/>
      </x:c>
      <x:c r="N7" s="459" t="str">
        <x:f>IF($E7="","",IF($E7="2추","금액입력","-"))</x:f>
        <x:v/>
      </x:c>
      <x:c r="O7" s="461" t="str">
        <x:f>IF($E7="","",SUM(M7:N7))</x:f>
        <x:v/>
      </x:c>
      <x:c r="P7" s="460"/>
      <x:c r="Q7" s="461">
        <x:f>SUM(O7:P7)</x:f>
        <x:v>0</x:v>
      </x:c>
      <x:c r="R7" s="462"/>
      <x:c r="S7" s="463">
        <x:f>SUM(O7,R7)</x:f>
        <x:v>0</x:v>
      </x:c>
      <x:c r="T7" s="162" t="str">
        <x:f>IF(AND((Q7=0),(S7&gt;0)),"O",IF(AND((P7&lt;0),(Q7-S7&lt;0)),"O","X"))</x:f>
        <x:v>X</x:v>
      </x:c>
      <x:c r="U7" s="233"/>
      <x:c r="V7" s="224"/>
      <x:c r="W7" s="217"/>
      <x:c r="X7" s="234"/>
      <x:c r="Y7" s="548"/>
      <x:c r="Z7" s="391"/>
      <x:c r="AA7" s="164"/>
      <x:c r="AB7" s="28"/>
    </x:row>
    <x:row r="8" spans="1:28" ht="80.099999999999994" customHeight="1">
      <x:c r="A8" s="155" t="str">
        <x:f>IF(D8="","",COUNTA($C$6:C8)-COUNTBLANK($C$6:C8)+1)</x:f>
        <x:v/>
      </x:c>
      <x:c r="B8" s="156" t="str">
        <x: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x:f>
        <x:v/>
      </x:c>
      <x:c r="C8" s="156" t="str">
        <x:f>IF(D8="","",IF(OR(D8="교육지원과",D8="총무과",D8="인사과"),"직접입력",VLOOKUP(D8,구분표!$A$3:$C$258,3,)))</x:f>
        <x:v/>
      </x:c>
      <x:c r="D8" s="226"/>
      <x:c r="E8" s="213"/>
      <x:c r="F8" s="388" t="str">
        <x:f t="shared" ref="F8:G10" si="2">IF($E8="","",IF($E8="2추","직접입력","-"))</x:f>
        <x:v/>
      </x:c>
      <x:c r="G8" s="388" t="str">
        <x:f t="shared" si="2"/>
        <x:v/>
      </x:c>
      <x:c r="H8" s="213"/>
      <x:c r="I8" s="213"/>
      <x:c r="J8" s="213"/>
      <x:c r="K8" s="218"/>
      <x:c r="L8" s="218"/>
      <x:c r="M8" s="459" t="str">
        <x:f t="shared" ref="M8:M10" si="3">IF($E8="","",IF(OR($E8="2추",$E8="1추",$E8="본예산"),"금액입력","-"))</x:f>
        <x:v/>
      </x:c>
      <x:c r="N8" s="459" t="str">
        <x:f t="shared" ref="N8:N10" si="4">IF($E8="","",IF($E8="2추","금액입력","-"))</x:f>
        <x:v/>
      </x:c>
      <x:c r="O8" s="461" t="str">
        <x:f t="shared" ref="O8:O10" si="5">IF($E8="","",SUM(M8:N8))</x:f>
        <x:v/>
      </x:c>
      <x:c r="P8" s="460"/>
      <x:c r="Q8" s="461">
        <x:f t="shared" ref="Q8:Q10" si="6">SUM(O8:P8)</x:f>
        <x:v>0</x:v>
      </x:c>
      <x:c r="R8" s="462"/>
      <x:c r="S8" s="463">
        <x:f t="shared" ref="S8:S10" si="7">SUM(O8,R8)</x:f>
        <x:v>0</x:v>
      </x:c>
      <x:c r="T8" s="162" t="str">
        <x:f t="shared" ref="T8:T10" si="8">IF(AND((Q8=0),(S8&gt;0)),"O",IF(AND((P8&lt;0),(Q8-S8&lt;0)),"O","X"))</x:f>
        <x:v>X</x:v>
      </x:c>
      <x:c r="U8" s="233"/>
      <x:c r="V8" s="224"/>
      <x:c r="W8" s="217"/>
      <x:c r="X8" s="234"/>
      <x:c r="Y8" s="548"/>
      <x:c r="Z8" s="391"/>
      <x:c r="AA8" s="164"/>
      <x:c r="AB8" s="28"/>
    </x:row>
    <x:row r="9" spans="1:28" ht="80.099999999999994" customHeight="1">
      <x:c r="A9" s="155" t="str">
        <x:f>IF(D9="","",COUNTA($C$6:C9)-COUNTBLANK($C$6:C9)+1)</x:f>
        <x:v/>
      </x:c>
      <x:c r="B9" s="156" t="str">
        <x: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x:f>
        <x:v/>
      </x:c>
      <x:c r="C9" s="156" t="str">
        <x:f>IF(D9="","",IF(OR(D9="교육지원과",D9="총무과",D9="인사과"),"직접입력",VLOOKUP(D9,구분표!$A$3:$C$258,3,)))</x:f>
        <x:v/>
      </x:c>
      <x:c r="D9" s="226"/>
      <x:c r="E9" s="213"/>
      <x:c r="F9" s="388" t="str">
        <x:f t="shared" si="2"/>
        <x:v/>
      </x:c>
      <x:c r="G9" s="388" t="str">
        <x:f t="shared" si="2"/>
        <x:v/>
      </x:c>
      <x:c r="H9" s="213"/>
      <x:c r="I9" s="213"/>
      <x:c r="J9" s="213"/>
      <x:c r="K9" s="218"/>
      <x:c r="L9" s="218"/>
      <x:c r="M9" s="459" t="str">
        <x:f t="shared" si="3"/>
        <x:v/>
      </x:c>
      <x:c r="N9" s="459" t="str">
        <x:f t="shared" si="4"/>
        <x:v/>
      </x:c>
      <x:c r="O9" s="461" t="str">
        <x:f t="shared" si="5"/>
        <x:v/>
      </x:c>
      <x:c r="P9" s="460"/>
      <x:c r="Q9" s="461">
        <x:f t="shared" si="6"/>
        <x:v>0</x:v>
      </x:c>
      <x:c r="R9" s="462"/>
      <x:c r="S9" s="463">
        <x:f t="shared" si="7"/>
        <x:v>0</x:v>
      </x:c>
      <x:c r="T9" s="162" t="str">
        <x:f t="shared" si="8"/>
        <x:v>X</x:v>
      </x:c>
      <x:c r="U9" s="233"/>
      <x:c r="V9" s="224"/>
      <x:c r="W9" s="217"/>
      <x:c r="X9" s="234"/>
      <x:c r="Y9" s="548"/>
      <x:c r="Z9" s="391"/>
      <x:c r="AA9" s="164"/>
      <x:c r="AB9" s="28"/>
    </x:row>
    <x:row r="10" spans="1:28" ht="80.099999999999994" customHeight="1">
      <x:c r="A10" s="155" t="str">
        <x:f>IF(D10="","",COUNTA($C$6:C10)-COUNTBLANK($C$6:C10)+1)</x:f>
        <x:v/>
      </x:c>
      <x:c r="B10" s="156" t="str">
        <x: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x:f>
        <x:v/>
      </x:c>
      <x:c r="C10" s="156" t="str">
        <x:f>IF(D10="","",IF(OR(D10="교육지원과",D10="총무과",D10="인사과"),"직접입력",VLOOKUP(D10,구분표!$A$3:$C$258,3,)))</x:f>
        <x:v/>
      </x:c>
      <x:c r="D10" s="226"/>
      <x:c r="E10" s="213"/>
      <x:c r="F10" s="388" t="str">
        <x:f t="shared" si="2"/>
        <x:v/>
      </x:c>
      <x:c r="G10" s="388" t="str">
        <x:f t="shared" si="2"/>
        <x:v/>
      </x:c>
      <x:c r="H10" s="213"/>
      <x:c r="I10" s="213"/>
      <x:c r="J10" s="213"/>
      <x:c r="K10" s="218"/>
      <x:c r="L10" s="218"/>
      <x:c r="M10" s="459" t="str">
        <x:f t="shared" si="3"/>
        <x:v/>
      </x:c>
      <x:c r="N10" s="459" t="str">
        <x:f t="shared" si="4"/>
        <x:v/>
      </x:c>
      <x:c r="O10" s="461" t="str">
        <x:f t="shared" si="5"/>
        <x:v/>
      </x:c>
      <x:c r="P10" s="460"/>
      <x:c r="Q10" s="461">
        <x:f t="shared" si="6"/>
        <x:v>0</x:v>
      </x:c>
      <x:c r="R10" s="462"/>
      <x:c r="S10" s="463">
        <x:f t="shared" si="7"/>
        <x:v>0</x:v>
      </x:c>
      <x:c r="T10" s="162" t="str">
        <x:f t="shared" si="8"/>
        <x:v>X</x:v>
      </x:c>
      <x:c r="U10" s="233"/>
      <x:c r="V10" s="224"/>
      <x:c r="W10" s="217"/>
      <x:c r="X10" s="234"/>
      <x:c r="Y10" s="548"/>
      <x:c r="Z10" s="391"/>
      <x:c r="AA10" s="164"/>
      <x:c r="AB10" s="28"/>
    </x:row>
    <x:row r="11" spans="1:27" ht="60" customHeight="1">
      <x:c r="A11" s="174"/>
      <x:c r="B11" s="888" t="s">
        <x:v>439</x:v>
      </x:c>
      <x:c r="C11" s="888"/>
      <x:c r="D11" s="888"/>
      <x:c r="E11" s="888"/>
      <x:c r="F11" s="888"/>
      <x:c r="G11" s="888"/>
      <x:c r="H11" s="175"/>
      <x:c r="I11" s="175"/>
      <x:c r="J11" s="175"/>
      <x:c r="K11" s="175"/>
      <x:c r="L11" s="353" t="str">
        <x:f>SUBTOTAL(3,L12:L15)&amp;"건"</x:f>
        <x:v>0건</x:v>
      </x:c>
      <x:c r="M11" s="477">
        <x:f t="shared" ref="M11:S11" si="9">SUBTOTAL(9,M12:M15)</x:f>
        <x:v>0</x:v>
      </x:c>
      <x:c r="N11" s="477">
        <x:f t="shared" si="9"/>
        <x:v>0</x:v>
      </x:c>
      <x:c r="O11" s="477">
        <x:f t="shared" si="9"/>
        <x:v>0</x:v>
      </x:c>
      <x:c r="P11" s="477">
        <x:f t="shared" si="9"/>
        <x:v>0</x:v>
      </x:c>
      <x:c r="Q11" s="477">
        <x:f t="shared" si="9"/>
        <x:v>0</x:v>
      </x:c>
      <x:c r="R11" s="477">
        <x:f t="shared" si="9"/>
        <x:v>0</x:v>
      </x:c>
      <x:c r="S11" s="477">
        <x:f t="shared" si="9"/>
        <x:v>0</x:v>
      </x:c>
      <x:c r="T11" s="174"/>
      <x:c r="U11" s="176"/>
      <x:c r="V11" s="176"/>
      <x:c r="W11" s="177"/>
      <x:c r="X11" s="178"/>
      <x:c r="Y11" s="178"/>
      <x:c r="Z11" s="82"/>
      <x:c r="AA11" s="44"/>
    </x:row>
    <x:row r="12" spans="1:28" ht="80.099999999999994" customHeight="1">
      <x:c r="A12" s="155" t="str">
        <x:f>IF(D12="","",COUNTA($C$6:C12)-COUNTBLANK($C$6:C12)+2)</x:f>
        <x:v/>
      </x:c>
      <x:c r="B12" s="156" t="str">
        <x: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x:f>
        <x:v/>
      </x:c>
      <x:c r="C12" s="156" t="str">
        <x:f>IF(D12="","",IF(OR(D12="교육지원과",D12="총무과",D12="인사과"),"직접입력",VLOOKUP(D12,구분표!$A$3:$C$258,3,)))</x:f>
        <x:v/>
      </x:c>
      <x:c r="D12" s="226"/>
      <x:c r="E12" s="213"/>
      <x:c r="F12" s="388" t="str">
        <x:f>IF($E12="","",IF($E12="2추","직접입력","-"))</x:f>
        <x:v/>
      </x:c>
      <x:c r="G12" s="388" t="str">
        <x:f>IF($E12="","",IF($E12="2추","직접입력","-"))</x:f>
        <x:v/>
      </x:c>
      <x:c r="H12" s="213"/>
      <x:c r="I12" s="213"/>
      <x:c r="J12" s="213"/>
      <x:c r="K12" s="218"/>
      <x:c r="L12" s="218"/>
      <x:c r="M12" s="459" t="str">
        <x:f>IF($E12="","",IF(OR($E12="2추",$E12="1추",$E12="본예산"),"금액입력","-"))</x:f>
        <x:v/>
      </x:c>
      <x:c r="N12" s="459" t="str">
        <x:f>IF($E12="","",IF($E12="2추","금액입력","-"))</x:f>
        <x:v/>
      </x:c>
      <x:c r="O12" s="461" t="str">
        <x:f t="shared" ref="O12:O15" si="10">IF($E12="","",SUM(M12:N12))</x:f>
        <x:v/>
      </x:c>
      <x:c r="P12" s="460"/>
      <x:c r="Q12" s="461">
        <x:f t="shared" ref="Q12:Q15" si="11">SUM(O12:P12)</x:f>
        <x:v>0</x:v>
      </x:c>
      <x:c r="R12" s="462"/>
      <x:c r="S12" s="463">
        <x:f t="shared" ref="S12:S15" si="12">SUM(O12,R12)</x:f>
        <x:v>0</x:v>
      </x:c>
      <x:c r="T12" s="162" t="str">
        <x:f t="shared" ref="T12:T15" si="13">IF(AND((Q12=0),(S12&gt;0)),"O",IF(AND((P12&lt;0),(Q12-S12&lt;0)),"O","X"))</x:f>
        <x:v>X</x:v>
      </x:c>
      <x:c r="U12" s="233"/>
      <x:c r="V12" s="224"/>
      <x:c r="W12" s="217"/>
      <x:c r="X12" s="234"/>
      <x:c r="Y12" s="548"/>
      <x:c r="Z12" s="391"/>
      <x:c r="AA12" s="164"/>
      <x:c r="AB12" s="28"/>
    </x:row>
    <x:row r="13" spans="1:28" ht="80.099999999999994" customHeight="1">
      <x:c r="A13" s="155" t="str">
        <x:f>IF(D13="","",COUNTA($C$6:C13)-COUNTBLANK($C$6:C13)+2)</x:f>
        <x:v/>
      </x:c>
      <x:c r="B13" s="156" t="str">
        <x: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x:f>
        <x:v/>
      </x:c>
      <x:c r="C13" s="156" t="str">
        <x:f>IF(D13="","",IF(OR(D13="교육지원과",D13="총무과",D13="인사과"),"직접입력",VLOOKUP(D13,구분표!$A$3:$C$258,3,)))</x:f>
        <x:v/>
      </x:c>
      <x:c r="D13" s="226"/>
      <x:c r="E13" s="213"/>
      <x:c r="F13" s="388" t="str">
        <x:f t="shared" ref="F13:G15" si="14">IF($E13="","",IF($E13="2추","직접입력","-"))</x:f>
        <x:v/>
      </x:c>
      <x:c r="G13" s="388" t="str">
        <x:f t="shared" si="14"/>
        <x:v/>
      </x:c>
      <x:c r="H13" s="213"/>
      <x:c r="I13" s="213"/>
      <x:c r="J13" s="213"/>
      <x:c r="K13" s="218"/>
      <x:c r="L13" s="218"/>
      <x:c r="M13" s="459" t="str">
        <x:f t="shared" ref="M13:M15" si="15">IF($E13="","",IF(OR($E13="2추",$E13="1추",$E13="본예산"),"금액입력","-"))</x:f>
        <x:v/>
      </x:c>
      <x:c r="N13" s="459" t="str">
        <x:f t="shared" ref="N13:N15" si="16">IF($E13="","",IF($E13="2추","금액입력","-"))</x:f>
        <x:v/>
      </x:c>
      <x:c r="O13" s="461" t="str">
        <x:f t="shared" si="10"/>
        <x:v/>
      </x:c>
      <x:c r="P13" s="460"/>
      <x:c r="Q13" s="461">
        <x:f t="shared" si="11"/>
        <x:v>0</x:v>
      </x:c>
      <x:c r="R13" s="462"/>
      <x:c r="S13" s="463">
        <x:f t="shared" si="12"/>
        <x:v>0</x:v>
      </x:c>
      <x:c r="T13" s="162" t="str">
        <x:f t="shared" si="13"/>
        <x:v>X</x:v>
      </x:c>
      <x:c r="U13" s="233"/>
      <x:c r="V13" s="224"/>
      <x:c r="W13" s="217"/>
      <x:c r="X13" s="234"/>
      <x:c r="Y13" s="548"/>
      <x:c r="Z13" s="391"/>
      <x:c r="AA13" s="164"/>
      <x:c r="AB13" s="28"/>
    </x:row>
    <x:row r="14" spans="1:28" ht="80.099999999999994" customHeight="1">
      <x:c r="A14" s="155" t="str">
        <x:f>IF(D14="","",COUNTA($C$6:C14)-COUNTBLANK($C$6:C14)+2)</x:f>
        <x:v/>
      </x:c>
      <x:c r="B14" s="156" t="str">
        <x: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x:f>
        <x:v/>
      </x:c>
      <x:c r="C14" s="156" t="str">
        <x:f>IF(D14="","",IF(OR(D14="교육지원과",D14="총무과",D14="인사과"),"직접입력",VLOOKUP(D14,구분표!$A$3:$C$258,3,)))</x:f>
        <x:v/>
      </x:c>
      <x:c r="D14" s="226"/>
      <x:c r="E14" s="213"/>
      <x:c r="F14" s="388" t="str">
        <x:f t="shared" si="14"/>
        <x:v/>
      </x:c>
      <x:c r="G14" s="388" t="str">
        <x:f t="shared" si="14"/>
        <x:v/>
      </x:c>
      <x:c r="H14" s="213"/>
      <x:c r="I14" s="213"/>
      <x:c r="J14" s="213"/>
      <x:c r="K14" s="218"/>
      <x:c r="L14" s="218"/>
      <x:c r="M14" s="459" t="str">
        <x:f t="shared" si="15"/>
        <x:v/>
      </x:c>
      <x:c r="N14" s="459" t="str">
        <x:f t="shared" si="16"/>
        <x:v/>
      </x:c>
      <x:c r="O14" s="461" t="str">
        <x:f t="shared" si="10"/>
        <x:v/>
      </x:c>
      <x:c r="P14" s="460"/>
      <x:c r="Q14" s="461">
        <x:f t="shared" si="11"/>
        <x:v>0</x:v>
      </x:c>
      <x:c r="R14" s="462"/>
      <x:c r="S14" s="463">
        <x:f t="shared" si="12"/>
        <x:v>0</x:v>
      </x:c>
      <x:c r="T14" s="162" t="str">
        <x:f t="shared" si="13"/>
        <x:v>X</x:v>
      </x:c>
      <x:c r="U14" s="233"/>
      <x:c r="V14" s="224"/>
      <x:c r="W14" s="217"/>
      <x:c r="X14" s="234"/>
      <x:c r="Y14" s="548"/>
      <x:c r="Z14" s="391"/>
      <x:c r="AA14" s="164"/>
      <x:c r="AB14" s="28"/>
    </x:row>
    <x:row r="15" spans="1:28" ht="80.099999999999994" customHeight="1">
      <x:c r="A15" s="155" t="str">
        <x:f>IF(D15="","",COUNTA($C$6:C15)-COUNTBLANK($C$6:C15)+2)</x:f>
        <x:v/>
      </x:c>
      <x:c r="B15" s="156" t="str">
        <x: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x:f>
        <x:v/>
      </x:c>
      <x:c r="C15" s="156" t="str">
        <x:f>IF(D15="","",IF(OR(D15="교육지원과",D15="총무과",D15="인사과"),"직접입력",VLOOKUP(D15,구분표!$A$3:$C$258,3,)))</x:f>
        <x:v/>
      </x:c>
      <x:c r="D15" s="226"/>
      <x:c r="E15" s="213"/>
      <x:c r="F15" s="388" t="str">
        <x:f t="shared" si="14"/>
        <x:v/>
      </x:c>
      <x:c r="G15" s="388" t="str">
        <x:f t="shared" si="14"/>
        <x:v/>
      </x:c>
      <x:c r="H15" s="213"/>
      <x:c r="I15" s="213"/>
      <x:c r="J15" s="213"/>
      <x:c r="K15" s="218"/>
      <x:c r="L15" s="218"/>
      <x:c r="M15" s="459" t="str">
        <x:f t="shared" si="15"/>
        <x:v/>
      </x:c>
      <x:c r="N15" s="459" t="str">
        <x:f t="shared" si="16"/>
        <x:v/>
      </x:c>
      <x:c r="O15" s="461" t="str">
        <x:f t="shared" si="10"/>
        <x:v/>
      </x:c>
      <x:c r="P15" s="460"/>
      <x:c r="Q15" s="461">
        <x:f t="shared" si="11"/>
        <x:v>0</x:v>
      </x:c>
      <x:c r="R15" s="462"/>
      <x:c r="S15" s="463">
        <x:f t="shared" si="12"/>
        <x:v>0</x:v>
      </x:c>
      <x:c r="T15" s="162" t="str">
        <x:f t="shared" si="13"/>
        <x:v>X</x:v>
      </x:c>
      <x:c r="U15" s="233"/>
      <x:c r="V15" s="224"/>
      <x:c r="W15" s="217"/>
      <x:c r="X15" s="234"/>
      <x:c r="Y15" s="548"/>
      <x:c r="Z15" s="391"/>
      <x:c r="AA15" s="164"/>
      <x:c r="AB15" s="28"/>
    </x:row>
    <x:row r="16" spans="1:27" customHeight="1">
      <x:c r="A16" s="36"/>
      <x:c r="B16" s="59"/>
      <x:c r="C16" s="59"/>
      <x:c r="D16" s="59"/>
      <x:c r="E16" s="59"/>
      <x:c r="F16" s="37"/>
      <x:c r="G16" s="37"/>
      <x:c r="H16" s="38"/>
      <x:c r="I16" s="38"/>
      <x:c r="J16" s="38"/>
      <x:c r="K16" s="38"/>
      <x:c r="L16" s="38"/>
      <x:c r="M16" s="38"/>
      <x:c r="N16" s="38"/>
      <x:c r="O16" s="498"/>
      <x:c r="P16" s="498"/>
      <x:c r="Q16" s="498"/>
      <x:c r="R16" s="499"/>
      <x:c r="S16" s="500"/>
      <x:c r="T16" s="37"/>
      <x:c r="U16" s="60"/>
      <x:c r="V16" s="41"/>
      <x:c r="W16" s="42"/>
      <x:c r="X16" s="40"/>
      <x:c r="Y16" s="40"/>
      <x:c r="Z16" s="37"/>
      <x:c r="AA16" s="44"/>
    </x:row>
    <x:row r="17" spans="1:27" customHeight="1">
      <x:c r="A17" s="36"/>
      <x:c r="B17" s="59"/>
      <x:c r="C17" s="59"/>
      <x:c r="D17" s="59"/>
      <x:c r="E17" s="59"/>
      <x:c r="F17" s="37"/>
      <x:c r="G17" s="37"/>
      <x:c r="H17" s="38"/>
      <x:c r="I17" s="38"/>
      <x:c r="J17" s="38"/>
      <x:c r="K17" s="38"/>
      <x:c r="L17" s="38"/>
      <x:c r="M17" s="38"/>
      <x:c r="N17" s="38"/>
      <x:c r="O17" s="498"/>
      <x:c r="P17" s="498"/>
      <x:c r="Q17" s="498"/>
      <x:c r="R17" s="499"/>
      <x:c r="S17" s="500"/>
      <x:c r="T17" s="37"/>
      <x:c r="U17" s="60"/>
      <x:c r="V17" s="41"/>
      <x:c r="W17" s="42"/>
      <x:c r="X17" s="40"/>
      <x:c r="Y17" s="40"/>
      <x:c r="Z17" s="37"/>
      <x:c r="AA17" s="44"/>
    </x:row>
    <x:row r="18" spans="1:27" customHeight="1">
      <x:c r="A18" s="36"/>
      <x:c r="B18" s="59"/>
      <x:c r="C18" s="59"/>
      <x:c r="D18" s="59"/>
      <x:c r="E18" s="59"/>
      <x:c r="F18" s="37"/>
      <x:c r="G18" s="37"/>
      <x:c r="H18" s="38"/>
      <x:c r="I18" s="38"/>
      <x:c r="J18" s="38"/>
      <x:c r="K18" s="38"/>
      <x:c r="L18" s="38"/>
      <x:c r="M18" s="38"/>
      <x:c r="N18" s="38"/>
      <x:c r="O18" s="498"/>
      <x:c r="P18" s="498"/>
      <x:c r="Q18" s="498"/>
      <x:c r="R18" s="499"/>
      <x:c r="S18" s="500"/>
      <x:c r="T18" s="37"/>
      <x:c r="U18" s="60"/>
      <x:c r="V18" s="41"/>
      <x:c r="W18" s="42"/>
      <x:c r="X18" s="40"/>
      <x:c r="Y18" s="40"/>
      <x:c r="Z18" s="37"/>
      <x:c r="AA18" s="44"/>
    </x:row>
    <x:row r="19" spans="1:27" customHeight="1">
      <x:c r="A19" s="36"/>
      <x:c r="B19" s="59"/>
      <x:c r="C19" s="59"/>
      <x:c r="D19" s="59"/>
      <x:c r="E19" s="59"/>
      <x:c r="F19" s="37"/>
      <x:c r="G19" s="37"/>
      <x:c r="H19" s="38"/>
      <x:c r="I19" s="38"/>
      <x:c r="J19" s="38"/>
      <x:c r="K19" s="38"/>
      <x:c r="L19" s="38"/>
      <x:c r="M19" s="38"/>
      <x:c r="N19" s="38"/>
      <x:c r="O19" s="498"/>
      <x:c r="P19" s="498"/>
      <x:c r="Q19" s="498"/>
      <x:c r="R19" s="499"/>
      <x:c r="S19" s="500"/>
      <x:c r="T19" s="37"/>
      <x:c r="U19" s="60"/>
      <x:c r="V19" s="41"/>
      <x:c r="W19" s="42"/>
      <x:c r="X19" s="40"/>
      <x:c r="Y19" s="40"/>
      <x:c r="Z19" s="37"/>
      <x:c r="AA19" s="44"/>
    </x:row>
    <x:row r="20" spans="1:27" customHeight="1">
      <x:c r="A20" s="36"/>
      <x:c r="B20" s="59"/>
      <x:c r="C20" s="59"/>
      <x:c r="D20" s="59"/>
      <x:c r="E20" s="59"/>
      <x:c r="F20" s="37"/>
      <x:c r="G20" s="37"/>
      <x:c r="H20" s="38"/>
      <x:c r="I20" s="38"/>
      <x:c r="J20" s="38"/>
      <x:c r="K20" s="38"/>
      <x:c r="L20" s="38"/>
      <x:c r="M20" s="38"/>
      <x:c r="N20" s="38"/>
      <x:c r="O20" s="498"/>
      <x:c r="P20" s="498"/>
      <x:c r="Q20" s="498"/>
      <x:c r="R20" s="499"/>
      <x:c r="S20" s="500"/>
      <x:c r="T20" s="37"/>
      <x:c r="U20" s="60"/>
      <x:c r="V20" s="41"/>
      <x:c r="W20" s="42"/>
      <x:c r="X20" s="40"/>
      <x:c r="Y20" s="40"/>
      <x:c r="Z20" s="37"/>
      <x:c r="AA20" s="44"/>
    </x:row>
    <x:row r="21" spans="1:27" customHeight="1">
      <x:c r="A21" s="36"/>
      <x:c r="B21" s="59"/>
      <x:c r="C21" s="59"/>
      <x:c r="D21" s="59"/>
      <x:c r="E21" s="59"/>
      <x:c r="F21" s="37"/>
      <x:c r="G21" s="37"/>
      <x:c r="H21" s="38"/>
      <x:c r="I21" s="38"/>
      <x:c r="J21" s="38"/>
      <x:c r="K21" s="38"/>
      <x:c r="L21" s="38"/>
      <x:c r="M21" s="38"/>
      <x:c r="N21" s="38"/>
      <x:c r="O21" s="498"/>
      <x:c r="P21" s="498"/>
      <x:c r="Q21" s="498"/>
      <x:c r="R21" s="499"/>
      <x:c r="S21" s="500"/>
      <x:c r="T21" s="37"/>
      <x:c r="U21" s="60"/>
      <x:c r="V21" s="41"/>
      <x:c r="W21" s="42"/>
      <x:c r="X21" s="40"/>
      <x:c r="Y21" s="40"/>
      <x:c r="Z21" s="37"/>
      <x:c r="AA21" s="44"/>
    </x:row>
    <x:row r="22" spans="1:27" customHeight="1">
      <x:c r="A22" s="36"/>
      <x:c r="B22" s="59"/>
      <x:c r="C22" s="59"/>
      <x:c r="D22" s="59"/>
      <x:c r="E22" s="59"/>
      <x:c r="F22" s="37"/>
      <x:c r="G22" s="37"/>
      <x:c r="H22" s="38"/>
      <x:c r="I22" s="38"/>
      <x:c r="J22" s="38"/>
      <x:c r="K22" s="38"/>
      <x:c r="L22" s="38"/>
      <x:c r="M22" s="38"/>
      <x:c r="N22" s="38"/>
      <x:c r="O22" s="498"/>
      <x:c r="P22" s="498"/>
      <x:c r="Q22" s="498"/>
      <x:c r="R22" s="499"/>
      <x:c r="S22" s="500"/>
      <x:c r="T22" s="37"/>
      <x:c r="U22" s="60"/>
      <x:c r="V22" s="41"/>
      <x:c r="W22" s="42"/>
      <x:c r="X22" s="40"/>
      <x:c r="Y22" s="40"/>
      <x:c r="Z22" s="37"/>
      <x:c r="AA22" s="44"/>
    </x:row>
    <x:row r="23" spans="1:27" customHeight="1">
      <x:c r="A23" s="36"/>
      <x:c r="B23" s="59"/>
      <x:c r="C23" s="59"/>
      <x:c r="D23" s="59"/>
      <x:c r="E23" s="59"/>
      <x:c r="F23" s="37"/>
      <x:c r="G23" s="37"/>
      <x:c r="H23" s="38"/>
      <x:c r="I23" s="38"/>
      <x:c r="J23" s="38"/>
      <x:c r="K23" s="38"/>
      <x:c r="L23" s="38"/>
      <x:c r="M23" s="38"/>
      <x:c r="N23" s="38"/>
      <x:c r="O23" s="498"/>
      <x:c r="P23" s="498"/>
      <x:c r="Q23" s="498"/>
      <x:c r="R23" s="498"/>
      <x:c r="S23" s="500"/>
      <x:c r="T23" s="37"/>
      <x:c r="U23" s="60"/>
      <x:c r="V23" s="41"/>
      <x:c r="W23" s="42"/>
      <x:c r="X23" s="40"/>
      <x:c r="Y23" s="40"/>
      <x:c r="Z23" s="37"/>
      <x:c r="AA23" s="44"/>
    </x:row>
    <x:row r="24" spans="1:27" customHeight="1">
      <x:c r="A24" s="36"/>
      <x:c r="B24" s="59"/>
      <x:c r="C24" s="59"/>
      <x:c r="D24" s="59"/>
      <x:c r="E24" s="59"/>
      <x:c r="F24" s="37"/>
      <x:c r="G24" s="37"/>
      <x:c r="H24" s="38"/>
      <x:c r="I24" s="38"/>
      <x:c r="J24" s="38"/>
      <x:c r="K24" s="38"/>
      <x:c r="L24" s="38"/>
      <x:c r="M24" s="38"/>
      <x:c r="N24" s="38"/>
      <x:c r="O24" s="498"/>
      <x:c r="P24" s="498"/>
      <x:c r="Q24" s="498"/>
      <x:c r="R24" s="498"/>
      <x:c r="S24" s="500"/>
      <x:c r="T24" s="37"/>
      <x:c r="U24" s="60"/>
      <x:c r="V24" s="41"/>
      <x:c r="W24" s="42"/>
      <x:c r="X24" s="40"/>
      <x:c r="Y24" s="40"/>
      <x:c r="Z24" s="37"/>
      <x:c r="AA24" s="44"/>
    </x:row>
    <x:row r="25" spans="1:27" customHeight="1">
      <x:c r="A25" s="36"/>
      <x:c r="B25" s="59"/>
      <x:c r="C25" s="59"/>
      <x:c r="D25" s="59"/>
      <x:c r="E25" s="59"/>
      <x:c r="F25" s="37"/>
      <x:c r="G25" s="37"/>
      <x:c r="H25" s="38"/>
      <x:c r="I25" s="38"/>
      <x:c r="J25" s="38"/>
      <x:c r="K25" s="38"/>
      <x:c r="L25" s="38"/>
      <x:c r="M25" s="38"/>
      <x:c r="N25" s="38"/>
      <x:c r="O25" s="498"/>
      <x:c r="P25" s="498"/>
      <x:c r="Q25" s="498"/>
      <x:c r="R25" s="498"/>
      <x:c r="S25" s="500"/>
      <x:c r="T25" s="37"/>
      <x:c r="U25" s="60"/>
      <x:c r="V25" s="41"/>
      <x:c r="W25" s="42"/>
      <x:c r="X25" s="40"/>
      <x:c r="Y25" s="40"/>
      <x:c r="Z25" s="37"/>
      <x:c r="AA25" s="44"/>
    </x:row>
    <x:row r="26" spans="1:27" customHeight="1">
      <x:c r="A26" s="36"/>
      <x:c r="B26" s="59"/>
      <x:c r="C26" s="59"/>
      <x:c r="D26" s="59"/>
      <x:c r="E26" s="59"/>
      <x:c r="F26" s="37"/>
      <x:c r="G26" s="37"/>
      <x:c r="H26" s="38"/>
      <x:c r="I26" s="38"/>
      <x:c r="J26" s="38"/>
      <x:c r="K26" s="38"/>
      <x:c r="L26" s="38"/>
      <x:c r="M26" s="38"/>
      <x:c r="N26" s="38"/>
      <x:c r="O26" s="498"/>
      <x:c r="P26" s="498"/>
      <x:c r="Q26" s="498"/>
      <x:c r="R26" s="498"/>
      <x:c r="S26" s="500"/>
      <x:c r="T26" s="37"/>
      <x:c r="U26" s="60"/>
      <x:c r="V26" s="41"/>
      <x:c r="W26" s="42"/>
      <x:c r="X26" s="40"/>
      <x:c r="Y26" s="40"/>
      <x:c r="Z26" s="37"/>
      <x:c r="AA26" s="44"/>
    </x:row>
    <x:row r="27" spans="1:27" customHeight="1">
      <x:c r="A27" s="36"/>
      <x:c r="B27" s="59"/>
      <x:c r="C27" s="59"/>
      <x:c r="D27" s="59"/>
      <x:c r="E27" s="59"/>
      <x:c r="F27" s="37"/>
      <x:c r="G27" s="37"/>
      <x:c r="H27" s="38"/>
      <x:c r="I27" s="38"/>
      <x:c r="J27" s="38"/>
      <x:c r="K27" s="38"/>
      <x:c r="L27" s="38"/>
      <x:c r="M27" s="38"/>
      <x:c r="N27" s="38"/>
      <x:c r="O27" s="498"/>
      <x:c r="P27" s="498"/>
      <x:c r="Q27" s="498"/>
      <x:c r="R27" s="498"/>
      <x:c r="S27" s="500"/>
      <x:c r="T27" s="37"/>
      <x:c r="U27" s="60"/>
      <x:c r="V27" s="41"/>
      <x:c r="W27" s="42"/>
      <x:c r="X27" s="40"/>
      <x:c r="Y27" s="40"/>
      <x:c r="Z27" s="37"/>
      <x:c r="AA27" s="44"/>
    </x:row>
    <x:row r="28" spans="1:27" customHeight="1">
      <x:c r="A28" s="36"/>
      <x:c r="B28" s="59"/>
      <x:c r="C28" s="59"/>
      <x:c r="D28" s="59"/>
      <x:c r="E28" s="59"/>
      <x:c r="F28" s="37"/>
      <x:c r="G28" s="37"/>
      <x:c r="H28" s="38"/>
      <x:c r="I28" s="38"/>
      <x:c r="J28" s="38"/>
      <x:c r="K28" s="38"/>
      <x:c r="L28" s="38"/>
      <x:c r="M28" s="38"/>
      <x:c r="N28" s="38"/>
      <x:c r="O28" s="498"/>
      <x:c r="P28" s="498"/>
      <x:c r="Q28" s="498"/>
      <x:c r="R28" s="498"/>
      <x:c r="S28" s="500"/>
      <x:c r="T28" s="37"/>
      <x:c r="U28" s="40"/>
      <x:c r="V28" s="41"/>
      <x:c r="W28" s="42"/>
      <x:c r="X28" s="40"/>
      <x:c r="Y28" s="40"/>
      <x:c r="Z28" s="37"/>
      <x:c r="AA28" s="44"/>
    </x:row>
    <x:row r="29" spans="1:27" customHeight="1">
      <x:c r="A29" s="36"/>
      <x:c r="B29" s="59"/>
      <x:c r="C29" s="59"/>
      <x:c r="D29" s="59"/>
      <x:c r="E29" s="59"/>
      <x:c r="F29" s="37"/>
      <x:c r="G29" s="37"/>
      <x:c r="H29" s="38"/>
      <x:c r="I29" s="38"/>
      <x:c r="J29" s="38"/>
      <x:c r="K29" s="38"/>
      <x:c r="L29" s="38"/>
      <x:c r="M29" s="38"/>
      <x:c r="N29" s="38"/>
      <x:c r="O29" s="498"/>
      <x:c r="P29" s="498"/>
      <x:c r="Q29" s="498"/>
      <x:c r="R29" s="498"/>
      <x:c r="S29" s="500"/>
      <x:c r="T29" s="37"/>
      <x:c r="U29" s="40"/>
      <x:c r="V29" s="41"/>
      <x:c r="W29" s="42"/>
      <x:c r="X29" s="40"/>
      <x:c r="Y29" s="40"/>
      <x:c r="Z29" s="37"/>
      <x:c r="AA29" s="44"/>
    </x:row>
    <x:row r="30" spans="1:27" customHeight="1">
      <x:c r="A30" s="36"/>
      <x:c r="B30" s="59"/>
      <x:c r="C30" s="59"/>
      <x:c r="D30" s="59"/>
      <x:c r="E30" s="59"/>
      <x:c r="F30" s="37"/>
      <x:c r="G30" s="37"/>
      <x:c r="H30" s="38"/>
      <x:c r="I30" s="38"/>
      <x:c r="J30" s="38"/>
      <x:c r="K30" s="38"/>
      <x:c r="L30" s="38"/>
      <x:c r="M30" s="38"/>
      <x:c r="N30" s="38"/>
      <x:c r="O30" s="498"/>
      <x:c r="P30" s="498"/>
      <x:c r="Q30" s="498"/>
      <x:c r="R30" s="498"/>
      <x:c r="S30" s="500"/>
      <x:c r="T30" s="37"/>
      <x:c r="U30" s="40"/>
      <x:c r="V30" s="41"/>
      <x:c r="W30" s="42"/>
      <x:c r="X30" s="40"/>
      <x:c r="Y30" s="40"/>
      <x:c r="Z30" s="37"/>
      <x:c r="AA30" s="44"/>
    </x:row>
    <x:row r="31" spans="1:27" customHeight="1">
      <x:c r="A31" s="36"/>
      <x:c r="B31" s="59"/>
      <x:c r="C31" s="59"/>
      <x:c r="D31" s="59"/>
      <x:c r="E31" s="59"/>
      <x:c r="F31" s="37"/>
      <x:c r="G31" s="37"/>
      <x:c r="H31" s="38"/>
      <x:c r="I31" s="38"/>
      <x:c r="J31" s="38"/>
      <x:c r="K31" s="38"/>
      <x:c r="L31" s="38"/>
      <x:c r="M31" s="38"/>
      <x:c r="N31" s="38"/>
      <x:c r="O31" s="498"/>
      <x:c r="P31" s="498"/>
      <x:c r="Q31" s="498"/>
      <x:c r="R31" s="498"/>
      <x:c r="S31" s="500"/>
      <x:c r="T31" s="37"/>
      <x:c r="U31" s="40"/>
      <x:c r="V31" s="41"/>
      <x:c r="W31" s="42"/>
      <x:c r="X31" s="40"/>
      <x:c r="Y31" s="40"/>
      <x:c r="Z31" s="37"/>
      <x:c r="AA31" s="44"/>
    </x:row>
    <x:row r="32" spans="1:27" customHeight="1">
      <x:c r="A32" s="54"/>
      <x:c r="B32" s="51"/>
      <x:c r="C32" s="51"/>
      <x:c r="D32" s="51"/>
      <x:c r="E32" s="51"/>
      <x:c r="F32" s="44"/>
      <x:c r="G32" s="44"/>
      <x:c r="H32" s="55"/>
      <x:c r="I32" s="55"/>
      <x:c r="J32" s="55"/>
      <x:c r="K32" s="55"/>
      <x:c r="L32" s="55"/>
      <x:c r="M32" s="55"/>
      <x:c r="N32" s="55"/>
      <x:c r="O32" s="489"/>
      <x:c r="P32" s="489"/>
      <x:c r="Q32" s="489"/>
      <x:c r="R32" s="489"/>
      <x:c r="S32" s="501"/>
      <x:c r="T32" s="44"/>
      <x:c r="U32" s="56"/>
      <x:c r="V32" s="57"/>
      <x:c r="W32" s="58"/>
      <x:c r="X32" s="56"/>
      <x:c r="Y32" s="56"/>
      <x:c r="Z32" s="44"/>
      <x:c r="AA32" s="44"/>
    </x:row>
    <x:row r="33" spans="1:27" customHeight="1">
      <x:c r="A33" s="54"/>
      <x:c r="B33" s="51"/>
      <x:c r="C33" s="51"/>
      <x:c r="D33" s="51"/>
      <x:c r="E33" s="51"/>
      <x:c r="F33" s="44"/>
      <x:c r="G33" s="44"/>
      <x:c r="H33" s="55"/>
      <x:c r="I33" s="55"/>
      <x:c r="J33" s="55"/>
      <x:c r="K33" s="55"/>
      <x:c r="L33" s="55"/>
      <x:c r="M33" s="55"/>
      <x:c r="N33" s="55"/>
      <x:c r="O33" s="489"/>
      <x:c r="P33" s="489"/>
      <x:c r="Q33" s="489"/>
      <x:c r="R33" s="489"/>
      <x:c r="S33" s="501"/>
      <x:c r="T33" s="44"/>
      <x:c r="U33" s="56"/>
      <x:c r="V33" s="57"/>
      <x:c r="W33" s="58"/>
      <x:c r="X33" s="56"/>
      <x:c r="Y33" s="56"/>
      <x:c r="Z33" s="44"/>
      <x:c r="AA33" s="44"/>
    </x:row>
    <x:row r="34" spans="1:27" customHeight="1">
      <x:c r="A34" s="54"/>
      <x:c r="B34" s="51"/>
      <x:c r="C34" s="51"/>
      <x:c r="D34" s="51"/>
      <x:c r="E34" s="51"/>
      <x:c r="F34" s="44"/>
      <x:c r="G34" s="44"/>
      <x:c r="H34" s="55"/>
      <x:c r="I34" s="55"/>
      <x:c r="J34" s="55"/>
      <x:c r="K34" s="55"/>
      <x:c r="L34" s="55"/>
      <x:c r="M34" s="55"/>
      <x:c r="N34" s="55"/>
      <x:c r="O34" s="489"/>
      <x:c r="P34" s="489"/>
      <x:c r="Q34" s="489"/>
      <x:c r="R34" s="489"/>
      <x:c r="S34" s="501"/>
      <x:c r="T34" s="44"/>
      <x:c r="U34" s="56"/>
      <x:c r="V34" s="57"/>
      <x:c r="W34" s="58"/>
      <x:c r="X34" s="56"/>
      <x:c r="Y34" s="56"/>
      <x:c r="Z34" s="44"/>
      <x:c r="AA34" s="44"/>
    </x:row>
    <x:row r="35" spans="1:27" customHeight="1">
      <x:c r="A35" s="54"/>
      <x:c r="B35" s="51"/>
      <x:c r="C35" s="51"/>
      <x:c r="D35" s="51"/>
      <x:c r="E35" s="51"/>
      <x:c r="F35" s="44"/>
      <x:c r="G35" s="44"/>
      <x:c r="H35" s="55"/>
      <x:c r="I35" s="55"/>
      <x:c r="J35" s="55"/>
      <x:c r="K35" s="55"/>
      <x:c r="L35" s="55"/>
      <x:c r="M35" s="55"/>
      <x:c r="N35" s="55"/>
      <x:c r="O35" s="489"/>
      <x:c r="P35" s="489"/>
      <x:c r="Q35" s="489"/>
      <x:c r="R35" s="489"/>
      <x:c r="S35" s="501"/>
      <x:c r="T35" s="44"/>
      <x:c r="U35" s="56"/>
      <x:c r="V35" s="57"/>
      <x:c r="W35" s="58"/>
      <x:c r="X35" s="56"/>
      <x:c r="Y35" s="56"/>
      <x:c r="Z35" s="44"/>
      <x:c r="AA35" s="44"/>
    </x:row>
    <x:row r="36" spans="1:27" customHeight="1">
      <x:c r="A36" s="54"/>
      <x:c r="B36" s="51"/>
      <x:c r="C36" s="51"/>
      <x:c r="D36" s="51"/>
      <x:c r="E36" s="51"/>
      <x:c r="F36" s="44"/>
      <x:c r="G36" s="44"/>
      <x:c r="H36" s="55"/>
      <x:c r="I36" s="55"/>
      <x:c r="J36" s="55"/>
      <x:c r="K36" s="55"/>
      <x:c r="L36" s="55"/>
      <x:c r="M36" s="55"/>
      <x:c r="N36" s="55"/>
      <x:c r="O36" s="489"/>
      <x:c r="P36" s="489"/>
      <x:c r="Q36" s="489"/>
      <x:c r="R36" s="489"/>
      <x:c r="S36" s="501"/>
      <x:c r="T36" s="44"/>
      <x:c r="U36" s="56"/>
      <x:c r="V36" s="57"/>
      <x:c r="W36" s="58"/>
      <x:c r="X36" s="56"/>
      <x:c r="Y36" s="56"/>
      <x:c r="Z36" s="44"/>
      <x:c r="AA36" s="44"/>
    </x:row>
    <x:row r="37" spans="1:27" customHeight="1">
      <x:c r="A37" s="54"/>
      <x:c r="B37" s="51"/>
      <x:c r="C37" s="51"/>
      <x:c r="D37" s="51"/>
      <x:c r="E37" s="51"/>
      <x:c r="F37" s="44"/>
      <x:c r="G37" s="44"/>
      <x:c r="H37" s="55"/>
      <x:c r="I37" s="55"/>
      <x:c r="J37" s="55"/>
      <x:c r="K37" s="55"/>
      <x:c r="L37" s="55"/>
      <x:c r="M37" s="55"/>
      <x:c r="N37" s="55"/>
      <x:c r="O37" s="489"/>
      <x:c r="P37" s="489"/>
      <x:c r="Q37" s="489"/>
      <x:c r="R37" s="489"/>
      <x:c r="S37" s="501"/>
      <x:c r="T37" s="44"/>
      <x:c r="U37" s="56"/>
      <x:c r="V37" s="57"/>
      <x:c r="W37" s="58"/>
      <x:c r="X37" s="56"/>
      <x:c r="Y37" s="56"/>
      <x:c r="Z37" s="44"/>
      <x:c r="AA37" s="44"/>
    </x:row>
    <x:row r="38" spans="1:27" customHeight="1">
      <x:c r="A38" s="54"/>
      <x:c r="B38" s="51"/>
      <x:c r="C38" s="51"/>
      <x:c r="D38" s="51"/>
      <x:c r="E38" s="51"/>
      <x:c r="F38" s="44"/>
      <x:c r="G38" s="44"/>
      <x:c r="H38" s="55"/>
      <x:c r="I38" s="55"/>
      <x:c r="J38" s="55"/>
      <x:c r="K38" s="55"/>
      <x:c r="L38" s="55"/>
      <x:c r="M38" s="55"/>
      <x:c r="N38" s="55"/>
      <x:c r="O38" s="489"/>
      <x:c r="P38" s="489"/>
      <x:c r="Q38" s="489"/>
      <x:c r="R38" s="489"/>
      <x:c r="S38" s="501"/>
      <x:c r="T38" s="44"/>
      <x:c r="U38" s="56"/>
      <x:c r="V38" s="57"/>
      <x:c r="W38" s="58"/>
      <x:c r="X38" s="56"/>
      <x:c r="Y38" s="56"/>
      <x:c r="Z38" s="44"/>
      <x:c r="AA38" s="44"/>
    </x:row>
    <x:row r="39" spans="1:27" customHeight="1">
      <x:c r="A39" s="54"/>
      <x:c r="B39" s="51"/>
      <x:c r="C39" s="51"/>
      <x:c r="D39" s="51"/>
      <x:c r="E39" s="51"/>
      <x:c r="F39" s="44"/>
      <x:c r="G39" s="44"/>
      <x:c r="H39" s="55"/>
      <x:c r="I39" s="55"/>
      <x:c r="J39" s="55"/>
      <x:c r="K39" s="55"/>
      <x:c r="L39" s="55"/>
      <x:c r="M39" s="55"/>
      <x:c r="N39" s="55"/>
      <x:c r="O39" s="489"/>
      <x:c r="P39" s="489"/>
      <x:c r="Q39" s="489"/>
      <x:c r="R39" s="489"/>
      <x:c r="S39" s="501"/>
      <x:c r="T39" s="44"/>
      <x:c r="U39" s="56"/>
      <x:c r="V39" s="57"/>
      <x:c r="W39" s="58"/>
      <x:c r="X39" s="56"/>
      <x:c r="Y39" s="56"/>
      <x:c r="Z39" s="44"/>
      <x:c r="AA39" s="44"/>
    </x:row>
    <x:row r="40" spans="1:27" customHeight="1">
      <x:c r="A40" s="54"/>
      <x:c r="B40" s="51"/>
      <x:c r="C40" s="51"/>
      <x:c r="D40" s="51"/>
      <x:c r="E40" s="51"/>
      <x:c r="F40" s="44"/>
      <x:c r="G40" s="44"/>
      <x:c r="H40" s="55"/>
      <x:c r="I40" s="55"/>
      <x:c r="J40" s="55"/>
      <x:c r="K40" s="55"/>
      <x:c r="L40" s="55"/>
      <x:c r="M40" s="55"/>
      <x:c r="N40" s="55"/>
      <x:c r="O40" s="489"/>
      <x:c r="P40" s="489"/>
      <x:c r="Q40" s="489"/>
      <x:c r="R40" s="489"/>
      <x:c r="S40" s="501"/>
      <x:c r="T40" s="44"/>
      <x:c r="U40" s="56"/>
      <x:c r="V40" s="57"/>
      <x:c r="W40" s="58"/>
      <x:c r="X40" s="56"/>
      <x:c r="Y40" s="56"/>
      <x:c r="Z40" s="44"/>
      <x:c r="AA40" s="44"/>
    </x:row>
    <x:row r="41" spans="1:27" customHeight="1">
      <x:c r="A41" s="54"/>
      <x:c r="B41" s="51"/>
      <x:c r="C41" s="51"/>
      <x:c r="D41" s="51"/>
      <x:c r="E41" s="51"/>
      <x:c r="F41" s="44"/>
      <x:c r="G41" s="44"/>
      <x:c r="H41" s="55"/>
      <x:c r="I41" s="55"/>
      <x:c r="J41" s="55"/>
      <x:c r="K41" s="55"/>
      <x:c r="L41" s="55"/>
      <x:c r="M41" s="55"/>
      <x:c r="N41" s="55"/>
      <x:c r="O41" s="489"/>
      <x:c r="P41" s="489"/>
      <x:c r="Q41" s="489"/>
      <x:c r="R41" s="489"/>
      <x:c r="S41" s="501"/>
      <x:c r="T41" s="44"/>
      <x:c r="U41" s="56"/>
      <x:c r="V41" s="57"/>
      <x:c r="W41" s="58"/>
      <x:c r="X41" s="56"/>
      <x:c r="Y41" s="56"/>
      <x:c r="Z41" s="44"/>
      <x:c r="AA41" s="44"/>
    </x:row>
    <x:row r="42" spans="1:27" customHeight="1">
      <x:c r="A42" s="54"/>
      <x:c r="B42" s="51"/>
      <x:c r="C42" s="51"/>
      <x:c r="D42" s="51"/>
      <x:c r="E42" s="51"/>
      <x:c r="F42" s="44"/>
      <x:c r="G42" s="44"/>
      <x:c r="H42" s="55"/>
      <x:c r="I42" s="55"/>
      <x:c r="J42" s="55"/>
      <x:c r="K42" s="55"/>
      <x:c r="L42" s="55"/>
      <x:c r="M42" s="55"/>
      <x:c r="N42" s="55"/>
      <x:c r="O42" s="489"/>
      <x:c r="P42" s="489"/>
      <x:c r="Q42" s="489"/>
      <x:c r="R42" s="489"/>
      <x:c r="S42" s="501"/>
      <x:c r="T42" s="44"/>
      <x:c r="U42" s="56"/>
      <x:c r="V42" s="57"/>
      <x:c r="W42" s="58"/>
      <x:c r="X42" s="56"/>
      <x:c r="Y42" s="56"/>
      <x:c r="Z42" s="44"/>
      <x:c r="AA42" s="44"/>
    </x:row>
    <x:row r="43" spans="1:27" customHeight="1">
      <x:c r="A43" s="54"/>
      <x:c r="B43" s="51"/>
      <x:c r="C43" s="51"/>
      <x:c r="D43" s="51"/>
      <x:c r="E43" s="51"/>
      <x:c r="F43" s="44"/>
      <x:c r="G43" s="44"/>
      <x:c r="H43" s="55"/>
      <x:c r="I43" s="55"/>
      <x:c r="J43" s="55"/>
      <x:c r="K43" s="55"/>
      <x:c r="L43" s="55"/>
      <x:c r="M43" s="55"/>
      <x:c r="N43" s="55"/>
      <x:c r="O43" s="489"/>
      <x:c r="P43" s="489"/>
      <x:c r="Q43" s="489"/>
      <x:c r="R43" s="489"/>
      <x:c r="S43" s="501"/>
      <x:c r="T43" s="44"/>
      <x:c r="U43" s="56"/>
      <x:c r="V43" s="57"/>
      <x:c r="W43" s="58"/>
      <x:c r="X43" s="56"/>
      <x:c r="Y43" s="56"/>
      <x:c r="Z43" s="44"/>
      <x:c r="AA43" s="44"/>
    </x:row>
    <x:row r="44" spans="1:27" customHeight="1">
      <x:c r="A44" s="54"/>
      <x:c r="B44" s="51"/>
      <x:c r="C44" s="51"/>
      <x:c r="D44" s="51"/>
      <x:c r="E44" s="51"/>
      <x:c r="F44" s="44"/>
      <x:c r="G44" s="44"/>
      <x:c r="H44" s="55"/>
      <x:c r="I44" s="55"/>
      <x:c r="J44" s="55"/>
      <x:c r="K44" s="55"/>
      <x:c r="L44" s="55"/>
      <x:c r="M44" s="55"/>
      <x:c r="N44" s="55"/>
      <x:c r="O44" s="489"/>
      <x:c r="P44" s="489"/>
      <x:c r="Q44" s="489"/>
      <x:c r="R44" s="489"/>
      <x:c r="S44" s="501"/>
      <x:c r="T44" s="44"/>
      <x:c r="U44" s="56"/>
      <x:c r="V44" s="57"/>
      <x:c r="W44" s="58"/>
      <x:c r="X44" s="56"/>
      <x:c r="Y44" s="56"/>
      <x:c r="Z44" s="44"/>
      <x:c r="AA44" s="44"/>
    </x:row>
    <x:row r="45" spans="1:27" customHeight="1">
      <x:c r="A45" s="54"/>
      <x:c r="B45" s="51"/>
      <x:c r="C45" s="51"/>
      <x:c r="D45" s="51"/>
      <x:c r="E45" s="51"/>
      <x:c r="F45" s="44"/>
      <x:c r="G45" s="44"/>
      <x:c r="H45" s="55"/>
      <x:c r="I45" s="55"/>
      <x:c r="J45" s="55"/>
      <x:c r="K45" s="55"/>
      <x:c r="L45" s="55"/>
      <x:c r="M45" s="55"/>
      <x:c r="N45" s="55"/>
      <x:c r="O45" s="489"/>
      <x:c r="P45" s="489"/>
      <x:c r="Q45" s="489"/>
      <x:c r="R45" s="489"/>
      <x:c r="S45" s="501"/>
      <x:c r="T45" s="44"/>
      <x:c r="U45" s="56"/>
      <x:c r="V45" s="57"/>
      <x:c r="W45" s="58"/>
      <x:c r="X45" s="56"/>
      <x:c r="Y45" s="56"/>
      <x:c r="Z45" s="44"/>
      <x:c r="AA45" s="44"/>
    </x:row>
    <x:row r="46" spans="1:27" customHeight="1">
      <x:c r="A46" s="54"/>
      <x:c r="B46" s="51"/>
      <x:c r="C46" s="51"/>
      <x:c r="D46" s="51"/>
      <x:c r="E46" s="51"/>
      <x:c r="F46" s="44"/>
      <x:c r="G46" s="44"/>
      <x:c r="H46" s="55"/>
      <x:c r="I46" s="55"/>
      <x:c r="J46" s="55"/>
      <x:c r="K46" s="55"/>
      <x:c r="L46" s="55"/>
      <x:c r="M46" s="55"/>
      <x:c r="N46" s="55"/>
      <x:c r="O46" s="489"/>
      <x:c r="P46" s="489"/>
      <x:c r="Q46" s="489"/>
      <x:c r="R46" s="489"/>
      <x:c r="S46" s="501"/>
      <x:c r="T46" s="44"/>
      <x:c r="U46" s="56"/>
      <x:c r="V46" s="57"/>
      <x:c r="W46" s="58"/>
      <x:c r="X46" s="56"/>
      <x:c r="Y46" s="56"/>
      <x:c r="Z46" s="44"/>
      <x:c r="AA46" s="44"/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autoFilter ref="A5:AB15"/>
  <x:mergeCells count="30">
    <x:mergeCell ref="A1:Z1"/>
    <x:mergeCell ref="B2:L2"/>
    <x:mergeCell ref="A3:A4"/>
    <x:mergeCell ref="B3:B4"/>
    <x:mergeCell ref="C3:C4"/>
    <x:mergeCell ref="D3:D4"/>
    <x:mergeCell ref="E3:E4"/>
    <x:mergeCell ref="G3:G4"/>
    <x:mergeCell ref="H3:H4"/>
    <x:mergeCell ref="I3:I4"/>
    <x:mergeCell ref="J3:J4"/>
    <x:mergeCell ref="K3:K4"/>
    <x:mergeCell ref="M3:M4"/>
    <x:mergeCell ref="N3:N4"/>
    <x:mergeCell ref="B6:G6"/>
    <x:mergeCell ref="B11:G11"/>
    <x:mergeCell ref="Z3:Z4"/>
    <x:mergeCell ref="T3:T4"/>
    <x:mergeCell ref="U3:U4"/>
    <x:mergeCell ref="V3:V4"/>
    <x:mergeCell ref="W3:W4"/>
    <x:mergeCell ref="X3:X4"/>
    <x:mergeCell ref="Y3:Y4"/>
    <x:mergeCell ref="L3:L4"/>
    <x:mergeCell ref="O3:O4"/>
    <x:mergeCell ref="P3:P4"/>
    <x:mergeCell ref="Q3:Q4"/>
    <x:mergeCell ref="R3:R4"/>
    <x:mergeCell ref="S3:S4"/>
    <x:mergeCell ref="F3:F4"/>
  </x:mergeCells>
  <x:conditionalFormatting sqref="O1:O2 O5:O5 O16:O1048576">
    <x:cfRule type="containsText" dxfId="624" priority="112" operator="containsText" text="금액입력">
      <x:formula>NOT(ISERROR(SEARCH("금액입력",O1)))</x:formula>
    </x:cfRule>
  </x:conditionalFormatting>
  <x:conditionalFormatting sqref="F1:G2 F11:G11 F5:G6 F16:G1048576">
    <x:cfRule type="containsText" dxfId="623" priority="111" operator="containsText" text="직접입력">
      <x:formula>NOT(ISERROR(SEARCH("직접입력",F1)))</x:formula>
    </x:cfRule>
  </x:conditionalFormatting>
  <x:conditionalFormatting sqref="K1:K1048576">
    <x:cfRule type="containsText" dxfId="622" priority="110" operator="containsText" text="세부사업명 입력">
      <x:formula>NOT(ISERROR(SEARCH("세부사업명 입력",K1)))</x:formula>
    </x:cfRule>
  </x:conditionalFormatting>
  <x:conditionalFormatting sqref="L1:N2 L3:L4 L16:N1048576 L6:L15">
    <x:cfRule type="containsText" dxfId="621" priority="109" operator="containsText" text="부기명 입력">
      <x:formula>NOT(ISERROR(SEARCH("부기명 입력",L1)))</x:formula>
    </x:cfRule>
  </x:conditionalFormatting>
  <x:conditionalFormatting sqref="L5:L5">
    <x:cfRule type="containsText" dxfId="620" priority="107" operator="containsText" text="부기명 입력">
      <x:formula>NOT(ISERROR(SEARCH("부기명 입력",L5)))</x:formula>
    </x:cfRule>
  </x:conditionalFormatting>
  <x:conditionalFormatting sqref="O7:O10 O12:O15">
    <x:cfRule type="containsText" dxfId="619" priority="97" operator="containsText" text="금액입력">
      <x:formula>NOT(ISERROR(SEARCH("금액입력",O7)))</x:formula>
    </x:cfRule>
  </x:conditionalFormatting>
  <x:conditionalFormatting sqref="M6:S6">
    <x:cfRule type="containsText" dxfId="618" priority="93" operator="containsText" text="금액입력">
      <x:formula>NOT(ISERROR(SEARCH("금액입력",M6)))</x:formula>
    </x:cfRule>
  </x:conditionalFormatting>
  <x:conditionalFormatting sqref="M11:S11">
    <x:cfRule type="containsText" dxfId="617" priority="60" operator="containsText" text="금액입력">
      <x:formula>NOT(ISERROR(SEARCH("금액입력",M11)))</x:formula>
    </x:cfRule>
  </x:conditionalFormatting>
  <x:conditionalFormatting sqref="M5:N5">
    <x:cfRule type="containsText" dxfId="616" priority="53" operator="containsText" text="금액입력">
      <x:formula>NOT(ISERROR(SEARCH("금액입력",M5)))</x:formula>
    </x:cfRule>
  </x:conditionalFormatting>
  <x:conditionalFormatting sqref="O3:O4">
    <x:cfRule type="containsText" dxfId="615" priority="52" operator="containsText" text="금액입력">
      <x:formula>NOT(ISERROR(SEARCH("금액입력",O3)))</x:formula>
    </x:cfRule>
  </x:conditionalFormatting>
  <x:conditionalFormatting sqref="F3:G4">
    <x:cfRule type="containsText" dxfId="614" priority="50" operator="containsText" text="직접입력">
      <x:formula>NOT(ISERROR(SEARCH("직접입력",F3)))</x:formula>
    </x:cfRule>
  </x:conditionalFormatting>
  <x:conditionalFormatting sqref="M3:N4">
    <x:cfRule type="containsText" dxfId="613" priority="49" operator="containsText" text="금액입력">
      <x:formula>NOT(ISERROR(SEARCH("금액입력",M3)))</x:formula>
    </x:cfRule>
  </x:conditionalFormatting>
  <x:conditionalFormatting sqref="B7:C10 B12:C15">
    <x:cfRule type="containsText" dxfId="612" priority="33" operator="containsText" text="직접입력">
      <x:formula>NOT(ISERROR(SEARCH("직접입력",B7)))</x:formula>
    </x:cfRule>
  </x:conditionalFormatting>
  <x:conditionalFormatting sqref="F7:G10">
    <x:cfRule type="containsText" dxfId="611" priority="28" operator="containsText" text="직접입력">
      <x:formula>NOT(ISERROR(SEARCH("직접입력",F7)))</x:formula>
    </x:cfRule>
  </x:conditionalFormatting>
  <x:conditionalFormatting sqref="M7:M10">
    <x:cfRule type="containsText" dxfId="610" priority="22" operator="containsText" text="부기명 입력">
      <x:formula>NOT(ISERROR(SEARCH("부기명 입력",M7)))</x:formula>
    </x:cfRule>
  </x:conditionalFormatting>
  <x:conditionalFormatting sqref="M7:M10">
    <x:cfRule type="containsText" dxfId="609" priority="21" operator="containsText" text="금액입력">
      <x:formula>NOT(ISERROR(SEARCH("금액입력",M7)))</x:formula>
    </x:cfRule>
  </x:conditionalFormatting>
  <x:conditionalFormatting sqref="N7:N10">
    <x:cfRule type="containsText" dxfId="608" priority="20" operator="containsText" text="금액입력">
      <x:formula>NOT(ISERROR(SEARCH("금액입력",N7)))</x:formula>
    </x:cfRule>
  </x:conditionalFormatting>
  <x:conditionalFormatting sqref="M7:M10">
    <x:cfRule type="containsText" dxfId="607" priority="19" operator="containsText" text="부기명 입력">
      <x:formula>NOT(ISERROR(SEARCH("부기명 입력",M7)))</x:formula>
    </x:cfRule>
  </x:conditionalFormatting>
  <x:conditionalFormatting sqref="M7:M10">
    <x:cfRule type="containsText" dxfId="606" priority="18" operator="containsText" text="금액입력">
      <x:formula>NOT(ISERROR(SEARCH("금액입력",M7)))</x:formula>
    </x:cfRule>
  </x:conditionalFormatting>
  <x:conditionalFormatting sqref="N7:N10">
    <x:cfRule type="containsText" dxfId="605" priority="17" operator="containsText" text="금액입력">
      <x:formula>NOT(ISERROR(SEARCH("금액입력",N7)))</x:formula>
    </x:cfRule>
  </x:conditionalFormatting>
  <x:conditionalFormatting sqref="F12:G15">
    <x:cfRule type="containsText" dxfId="604" priority="7" operator="containsText" text="직접입력">
      <x:formula>NOT(ISERROR(SEARCH("직접입력",F12)))</x:formula>
    </x:cfRule>
  </x:conditionalFormatting>
  <x:conditionalFormatting sqref="M12:M15">
    <x:cfRule type="containsText" dxfId="603" priority="6" operator="containsText" text="부기명 입력">
      <x:formula>NOT(ISERROR(SEARCH("부기명 입력",M12)))</x:formula>
    </x:cfRule>
  </x:conditionalFormatting>
  <x:conditionalFormatting sqref="M12:M15">
    <x:cfRule type="containsText" dxfId="602" priority="5" operator="containsText" text="금액입력">
      <x:formula>NOT(ISERROR(SEARCH("금액입력",M12)))</x:formula>
    </x:cfRule>
  </x:conditionalFormatting>
  <x:conditionalFormatting sqref="N12:N15">
    <x:cfRule type="containsText" dxfId="601" priority="4" operator="containsText" text="금액입력">
      <x:formula>NOT(ISERROR(SEARCH("금액입력",N12)))</x:formula>
    </x:cfRule>
  </x:conditionalFormatting>
  <x:conditionalFormatting sqref="M12:M15">
    <x:cfRule type="containsText" dxfId="600" priority="3" operator="containsText" text="부기명 입력">
      <x:formula>NOT(ISERROR(SEARCH("부기명 입력",M12)))</x:formula>
    </x:cfRule>
  </x:conditionalFormatting>
  <x:conditionalFormatting sqref="M12:M15">
    <x:cfRule type="containsText" dxfId="599" priority="2" operator="containsText" text="금액입력">
      <x:formula>NOT(ISERROR(SEARCH("금액입력",M12)))</x:formula>
    </x:cfRule>
  </x:conditionalFormatting>
  <x:conditionalFormatting sqref="N12:N15">
    <x:cfRule type="containsText" dxfId="598" priority="1" operator="containsText" text="금액입력">
      <x:formula>NOT(ISERROR(SEARCH("금액입력",N12)))</x:formula>
    </x:cfRule>
  </x:conditionalFormatting>
  <x:dataValidations count="5">
    <x:dataValidation type="custom" allowBlank="1" showInputMessage="1" showErrorMessage="1" sqref="Z7:Z10 Z12:Z15">
      <x:formula1>"국도비, 도비"</x:formula1>
    </x:dataValidation>
    <x:dataValidation type="list" allowBlank="1" showInputMessage="1" showErrorMessage="1" sqref="Z6:Z6 Z11:Z11">
      <x:formula1>"도비,국도비"</x:formula1>
    </x:dataValidation>
    <x:dataValidation type="list" allowBlank="1" showInputMessage="1" showErrorMessage="1" sqref="E5:E5">
      <x:formula1>"본예산, 신규"</x:formula1>
    </x:dataValidation>
    <x:dataValidation type="list" allowBlank="1" showInputMessage="1" showErrorMessage="1" sqref="Y7:Y10 W7:W10 Y12:Y15 W12:W15">
      <x:formula1>"동의, 부동의, 미실시"</x:formula1>
    </x:dataValidation>
    <x:dataValidation type="list" allowBlank="1" showInputMessage="1" showErrorMessage="1" sqref="E7:E10 E12:E15">
      <x:formula1>"본예산, 1추, 2추, 신규"</x:formula1>
    </x:dataValidation>
  </x:dataValidation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32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  <x:legacyDrawing r:id="rId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>
    <x:tabColor rgb="ff00b050"/>
    <x:pageSetUpPr autoPageBreaks="1" fitToPage="1"/>
  </x:sheetPr>
  <x:dimension ref="A1:AS654"/>
  <x:sheetViews>
    <x:sheetView view="pageBreakPreview" topLeftCell="A1" zoomScale="40" zoomScaleNormal="55" zoomScaleSheetLayoutView="40" workbookViewId="0">
      <x:pane xSplit="0" ySplit="6" topLeftCell="A106" activePane="bottomLeft" state="frozen"/>
      <x:selection pane="bottomLeft" activeCell="A124" activeCellId="0" sqref="A124:A124"/>
    </x:sheetView>
  </x:sheetViews>
  <x:sheetFormatPr defaultColWidth="9" defaultRowHeight="50.100000000000001" customHeight="1"/>
  <x:cols>
    <x:col min="1" max="1" width="8.625" style="21" bestFit="1" customWidth="1"/>
    <x:col min="2" max="2" width="23.25" style="49" bestFit="1" customWidth="1"/>
    <x:col min="3" max="4" width="16.75" style="49" bestFit="1" customWidth="1"/>
    <x:col min="5" max="5" width="9" style="49" bestFit="1" customWidth="1"/>
    <x:col min="6" max="6" width="15.625" style="62" customWidth="1"/>
    <x:col min="7" max="7" width="15.625" style="389" customWidth="1"/>
    <x:col min="8" max="8" width="11.125" style="21" bestFit="1" customWidth="1"/>
    <x:col min="9" max="9" width="24.5" style="21" bestFit="1" customWidth="1"/>
    <x:col min="10" max="10" width="45.625" style="21" customWidth="1"/>
    <x:col min="11" max="12" width="25.625" style="21" customWidth="1"/>
    <x:col min="13" max="17" width="25.625" style="454" customWidth="1"/>
    <x:col min="18" max="18" width="12.625" style="21" bestFit="1" customWidth="1"/>
    <x:col min="19" max="19" width="17.375" style="30" bestFit="1" customWidth="1"/>
    <x:col min="20" max="20" width="25.125" style="30" bestFit="1" customWidth="1"/>
    <x:col min="21" max="21" width="14.25" style="30" bestFit="1" customWidth="1"/>
    <x:col min="22" max="22" width="28.25" style="30" customWidth="1"/>
    <x:col min="23" max="23" width="16.125" style="49" customWidth="1"/>
    <x:col min="24" max="24" width="15.5" style="21" bestFit="1" customWidth="1"/>
    <x:col min="25" max="25" width="2.625" style="21" customWidth="1"/>
    <x:col min="26" max="27" width="20.625" style="454" customWidth="1"/>
    <x:col min="28" max="28" width="16.625" style="21" customWidth="1"/>
    <x:col min="29" max="29" width="2.625" style="21" customWidth="1"/>
    <x:col min="30" max="31" width="20.625" style="454" customWidth="1"/>
    <x:col min="32" max="32" width="16.625" style="21" customWidth="1"/>
    <x:col min="33" max="33" width="2.625" style="21" customWidth="1"/>
    <x:col min="34" max="34" width="16.5" style="21" bestFit="1" customWidth="1"/>
    <x:col min="35" max="35" width="9" style="21" customWidth="1"/>
    <x:col min="36" max="36" width="2.625" style="21" customWidth="1"/>
    <x:col min="37" max="37" width="9.5" style="21" bestFit="1" customWidth="1"/>
    <x:col min="38" max="38" width="2.625" style="21" customWidth="1"/>
    <x:col min="39" max="39" width="20.625" style="454" customWidth="1"/>
    <x:col min="40" max="40" width="8.625" style="21" bestFit="1" customWidth="1"/>
    <x:col min="41" max="41" width="16.625" style="21" customWidth="1"/>
    <x:col min="42" max="42" width="2.625" style="21" customWidth="1"/>
    <x:col min="43" max="43" width="20.625" style="454" customWidth="1"/>
    <x:col min="44" max="44" width="8.625" style="21" bestFit="1" customWidth="1"/>
    <x:col min="45" max="45" width="16.625" style="21" customWidth="1"/>
    <x:col min="46" max="16384" width="9" style="21"/>
  </x:cols>
  <x:sheetData>
    <x:row r="1" spans="1:44" s="355" customFormat="1" ht="90" customHeight="1">
      <x:c r="A1" s="948" t="s">
        <x:v>1439</x:v>
      </x:c>
      <x:c r="B1" s="948"/>
      <x:c r="C1" s="948"/>
      <x:c r="D1" s="948"/>
      <x:c r="E1" s="948"/>
      <x:c r="F1" s="948"/>
      <x:c r="G1" s="948"/>
      <x:c r="H1" s="948"/>
      <x:c r="I1" s="948"/>
      <x:c r="J1" s="948"/>
      <x:c r="K1" s="948"/>
      <x:c r="L1" s="948"/>
      <x:c r="M1" s="948"/>
      <x:c r="N1" s="948"/>
      <x:c r="O1" s="948"/>
      <x:c r="P1" s="948"/>
      <x:c r="Q1" s="948"/>
      <x:c r="R1" s="948"/>
      <x:c r="S1" s="948"/>
      <x:c r="T1" s="948"/>
      <x:c r="U1" s="948"/>
      <x:c r="V1" s="948"/>
      <x:c r="W1" s="948"/>
      <x:c r="X1" s="354"/>
      <x:c r="Z1" s="936" t="s">
        <x:v>1040</x:v>
      </x:c>
      <x:c r="AA1" s="938"/>
      <x:c r="AD1" s="933" t="s">
        <x:v>1040</x:v>
      </x:c>
      <x:c r="AE1" s="935"/>
      <x:c r="AG1" s="447"/>
      <x:c r="AH1" s="448" t="s">
        <x:v>434</x:v>
      </x:c>
      <x:c r="AI1" s="446"/>
      <x:c r="AM1" s="959" t="s">
        <x:v>1040</x:v>
      </x:c>
      <x:c r="AN1" s="961"/>
      <x:c r="AQ1" s="968" t="s">
        <x:v>1040</x:v>
      </x:c>
      <x:c r="AR1" s="970"/>
    </x:row>
    <x:row r="2" spans="1:43" ht="31.5">
      <x:c r="A2" s="23"/>
      <x:c r="B2" s="52"/>
      <x:c r="Q2" s="455">
        <x:f>Q6-M6</x:f>
        <x:v>0</x:v>
      </x:c>
      <x:c r="Z2" s="505" t="s">
        <x:v>450</x:v>
      </x:c>
      <x:c r="AA2" s="505" t="s">
        <x:v>447</x:v>
      </x:c>
      <x:c r="AD2" s="505" t="s">
        <x:v>450</x:v>
      </x:c>
      <x:c r="AE2" s="505" t="s">
        <x:v>447</x:v>
      </x:c>
      <x:c r="AH2" s="446"/>
      <x:c r="AI2" s="446"/>
      <x:c r="AM2" s="558" t="s">
        <x:v>453</x:v>
      </x:c>
      <x:c r="AQ2" s="558" t="s">
        <x:v>453</x:v>
      </x:c>
    </x:row>
    <x:row r="3" spans="1:43" ht="24.75" customHeight="1">
      <x:c r="A3" s="23"/>
      <x:c r="N3" s="456"/>
      <x:c r="O3" s="456"/>
      <x:c r="P3" s="456"/>
      <x:c r="Q3" s="456"/>
      <x:c r="R3" s="74"/>
      <x:c r="W3" s="71" t="s">
        <x:v>1513</x:v>
      </x:c>
      <x:c r="X3" s="50"/>
      <x:c r="Z3" s="468" t="str">
        <x:f>IF(Z6='5. 기출'!AB6,"OK","@@")</x:f>
        <x:v>OK</x:v>
      </x:c>
      <x:c r="AA3" s="468" t="str">
        <x:f>IF(AA6='5. 기출'!AC6,"OK","@@")</x:f>
        <x:v>@@</x:v>
      </x:c>
      <x:c r="AB3" s="385" t="s">
        <x:v>1513</x:v>
      </x:c>
      <x:c r="AD3" s="468" t="str">
        <x:f>IF(AD6='5. 기출'!AF6,"OK","@@")</x:f>
        <x:v>OK</x:v>
      </x:c>
      <x:c r="AE3" s="468" t="str">
        <x:f>IF(AE6='5. 기출'!AG6,"OK","@@")</x:f>
        <x:v>OK</x:v>
      </x:c>
      <x:c r="AF3" s="385" t="s">
        <x:v>1513</x:v>
      </x:c>
      <x:c r="AM3" s="468" t="str">
        <x:f>IF(AM6=Z6,"OK","@@")</x:f>
        <x:v>OK</x:v>
      </x:c>
      <x:c r="AQ3" s="468" t="str">
        <x:f>IF(AQ6=AD6,"OK","@@")</x:f>
        <x:v>OK</x:v>
      </x:c>
    </x:row>
    <x:row r="4" spans="1:45" s="329" customFormat="1" ht="60" customHeight="1">
      <x:c r="A4" s="893" t="s">
        <x:v>116</x:v>
      </x:c>
      <x:c r="B4" s="904" t="s">
        <x:v>1933</x:v>
      </x:c>
      <x:c r="C4" s="904" t="s">
        <x:v>74</x:v>
      </x:c>
      <x:c r="D4" s="904" t="s">
        <x:v>94</x:v>
      </x:c>
      <x:c r="E4" s="894" t="s">
        <x:v>1320</x:v>
      </x:c>
      <x:c r="F4" s="894" t="s">
        <x:v>1646</x:v>
      </x:c>
      <x:c r="G4" s="894" t="s">
        <x:v>1620</x:v>
      </x:c>
      <x:c r="H4" s="893" t="s">
        <x:v>119</x:v>
      </x:c>
      <x:c r="I4" s="893" t="s">
        <x:v>126</x:v>
      </x:c>
      <x:c r="J4" s="893" t="s">
        <x:v>127</x:v>
      </x:c>
      <x:c r="K4" s="889" t="s">
        <x:v>1412</x:v>
      </x:c>
      <x:c r="L4" s="889" t="s">
        <x:v>1678</x:v>
      </x:c>
      <x:c r="M4" s="889" t="s">
        <x:v>443</x:v>
      </x:c>
      <x:c r="N4" s="902" t="s">
        <x:v>1661</x:v>
      </x:c>
      <x:c r="O4" s="891" t="s">
        <x:v>1357</x:v>
      </x:c>
      <x:c r="P4" s="902" t="s">
        <x:v>1636</x:v>
      </x:c>
      <x:c r="Q4" s="891" t="s">
        <x:v>1359</x:v>
      </x:c>
      <x:c r="R4" s="899" t="s">
        <x:v>1543</x:v>
      </x:c>
      <x:c r="S4" s="891" t="s">
        <x:v>1550</x:v>
      </x:c>
      <x:c r="T4" s="891" t="s">
        <x:v>1549</x:v>
      </x:c>
      <x:c r="U4" s="891" t="s">
        <x:v>1619</x:v>
      </x:c>
      <x:c r="V4" s="891" t="s">
        <x:v>1548</x:v>
      </x:c>
      <x:c r="W4" s="894" t="s">
        <x:v>1514</x:v>
      </x:c>
      <x:c r="X4" s="899" t="s">
        <x:v>555</x:v>
      </x:c>
      <x:c r="Y4" s="328"/>
      <x:c r="Z4" s="897" t="s">
        <x:v>1522</x:v>
      </x:c>
      <x:c r="AA4" s="897"/>
      <x:c r="AB4" s="897"/>
      <x:c r="AD4" s="898" t="s">
        <x:v>1517</x:v>
      </x:c>
      <x:c r="AE4" s="898"/>
      <x:c r="AF4" s="898"/>
      <x:c r="AH4" s="896" t="s">
        <x:v>1322</x:v>
      </x:c>
      <x:c r="AI4" s="896" t="s">
        <x:v>98</x:v>
      </x:c>
      <x:c r="AK4" s="895" t="s">
        <x:v>65</x:v>
      </x:c>
      <x:c r="AM4" s="897" t="s">
        <x:v>1523</x:v>
      </x:c>
      <x:c r="AN4" s="897"/>
      <x:c r="AO4" s="897"/>
      <x:c r="AQ4" s="898" t="s">
        <x:v>1518</x:v>
      </x:c>
      <x:c r="AR4" s="898"/>
      <x:c r="AS4" s="898"/>
    </x:row>
    <x:row r="5" spans="1:45" s="329" customFormat="1" ht="60" customHeight="1">
      <x:c r="A5" s="893"/>
      <x:c r="B5" s="904"/>
      <x:c r="C5" s="904"/>
      <x:c r="D5" s="904"/>
      <x:c r="E5" s="894"/>
      <x:c r="F5" s="894"/>
      <x:c r="G5" s="894"/>
      <x:c r="H5" s="893"/>
      <x:c r="I5" s="893"/>
      <x:c r="J5" s="893"/>
      <x:c r="K5" s="890"/>
      <x:c r="L5" s="890"/>
      <x:c r="M5" s="890"/>
      <x:c r="N5" s="903"/>
      <x:c r="O5" s="892"/>
      <x:c r="P5" s="903"/>
      <x:c r="Q5" s="892"/>
      <x:c r="R5" s="899"/>
      <x:c r="S5" s="891"/>
      <x:c r="T5" s="891"/>
      <x:c r="U5" s="891"/>
      <x:c r="V5" s="891"/>
      <x:c r="W5" s="904"/>
      <x:c r="X5" s="893"/>
      <x:c r="Y5" s="328"/>
      <x:c r="Z5" s="506" t="s">
        <x:v>1325</x:v>
      </x:c>
      <x:c r="AA5" s="506" t="s">
        <x:v>91</x:v>
      </x:c>
      <x:c r="AB5" s="378" t="s">
        <x:v>431</x:v>
      </x:c>
      <x:c r="AD5" s="509" t="s">
        <x:v>1325</x:v>
      </x:c>
      <x:c r="AE5" s="509" t="s">
        <x:v>91</x:v>
      </x:c>
      <x:c r="AF5" s="378" t="s">
        <x:v>431</x:v>
      </x:c>
      <x:c r="AH5" s="896"/>
      <x:c r="AI5" s="896"/>
      <x:c r="AK5" s="896"/>
      <x:c r="AM5" s="469" t="s">
        <x:v>1321</x:v>
      </x:c>
      <x:c r="AN5" s="330" t="s">
        <x:v>106</x:v>
      </x:c>
      <x:c r="AO5" s="378" t="s">
        <x:v>431</x:v>
      </x:c>
      <x:c r="AQ5" s="469" t="s">
        <x:v>1321</x:v>
      </x:c>
      <x:c r="AR5" s="330" t="s">
        <x:v>106</x:v>
      </x:c>
      <x:c r="AS5" s="378" t="s">
        <x:v>431</x:v>
      </x:c>
    </x:row>
    <x:row r="6" spans="1:45" s="396" customFormat="1" ht="80.099999999999994" customHeight="1">
      <x:c r="A6" s="394"/>
      <x:c r="B6" s="179" t="s">
        <x:v>102</x:v>
      </x:c>
      <x:c r="C6" s="399"/>
      <x:c r="D6" s="399"/>
      <x:c r="E6" s="399"/>
      <x:c r="F6" s="399"/>
      <x:c r="G6" s="179"/>
      <x:c r="H6" s="392"/>
      <x:c r="I6" s="392"/>
      <x:c r="J6" s="393" t="str">
        <x:f>SUBTOTAL(3,J$7:J$2012)&amp;"건"</x:f>
        <x:v>0건</x:v>
      </x:c>
      <x:c r="K6" s="491">
        <x:f t="shared" ref="K6:L6" si="0">SUBTOTAL(9,K$7:K$2012)</x:f>
        <x:v>0</x:v>
      </x:c>
      <x:c r="L6" s="491">
        <x:f t="shared" si="0"/>
        <x:v>0</x:v>
      </x:c>
      <x:c r="M6" s="491">
        <x:f>SUBTOTAL(9,M$7:M$2012)</x:f>
        <x:v>0</x:v>
      </x:c>
      <x:c r="N6" s="491">
        <x:f t="shared" ref="N6:Q6" si="1">SUBTOTAL(9,N$7:N$2012)</x:f>
        <x:v>0</x:v>
      </x:c>
      <x:c r="O6" s="491">
        <x:f t="shared" si="1"/>
        <x:v>0</x:v>
      </x:c>
      <x:c r="P6" s="491">
        <x:f t="shared" si="1"/>
        <x:v>0</x:v>
      </x:c>
      <x:c r="Q6" s="491">
        <x:f t="shared" si="1"/>
        <x:v>0</x:v>
      </x:c>
      <x:c r="R6" s="400"/>
      <x:c r="S6" s="400"/>
      <x:c r="T6" s="400"/>
      <x:c r="U6" s="400"/>
      <x:c r="V6" s="400"/>
      <x:c r="W6" s="401"/>
      <x:c r="X6" s="394"/>
      <x:c r="Y6" s="402"/>
      <x:c r="Z6" s="507">
        <x:f>SUBTOTAL(9,Z$7:Z$2012)</x:f>
        <x:v>0</x:v>
      </x:c>
      <x:c r="AA6" s="507">
        <x:f>SUBTOTAL(9,AA$7:AA$2012)</x:f>
        <x:v>0</x:v>
      </x:c>
      <x:c r="AB6" s="394" t="str">
        <x:f>IF(COUNTIF(AB$8:AB$2012,"@@")&gt;0,"@@","OK")</x:f>
        <x:v>OK</x:v>
      </x:c>
      <x:c r="AD6" s="507">
        <x:f t="shared" ref="AD6:AE6" si="2">SUBTOTAL(9,AD$7:AD$2012)</x:f>
        <x:v>0</x:v>
      </x:c>
      <x:c r="AE6" s="507">
        <x:f t="shared" si="2"/>
        <x:v>0</x:v>
      </x:c>
      <x:c r="AF6" s="394" t="str">
        <x:f>IF(COUNTIF(AF$8:AF$2012,"@@")&gt;0,"@@","OK")</x:f>
        <x:v>OK</x:v>
      </x:c>
      <x:c r="AH6" s="394"/>
      <x:c r="AI6" s="394"/>
      <x:c r="AK6" s="394"/>
      <x:c r="AM6" s="510">
        <x:f t="shared" ref="AM6:AN6" si="3">SUBTOTAL(9,AM$7:AM$2012)</x:f>
        <x:v>0</x:v>
      </x:c>
      <x:c r="AN6" s="397">
        <x:f t="shared" si="3"/>
        <x:v>0</x:v>
      </x:c>
      <x:c r="AO6" s="398" t="str">
        <x:f>IF(COUNTIF(AO$7:AO$2012,"@@")&gt;0,"@@","OK")</x:f>
        <x:v>OK</x:v>
      </x:c>
      <x:c r="AQ6" s="507">
        <x:f t="shared" ref="AQ6:AR6" si="4">SUBTOTAL(9,AQ$7:AQ$2012)</x:f>
        <x:v>0</x:v>
      </x:c>
      <x:c r="AR6" s="395">
        <x:f t="shared" si="4"/>
        <x:v>0</x:v>
      </x:c>
      <x:c r="AS6" s="394" t="str">
        <x:f>IF(COUNTIF(AS$7:AS$2012,"@@")&gt;0,"@@","OK")</x:f>
        <x:v>OK</x:v>
      </x:c>
    </x:row>
    <x:row r="7" spans="1:45" ht="60" customHeight="1">
      <x:c r="A7" s="171"/>
      <x:c r="B7" s="888" t="s">
        <x:v>1657</x:v>
      </x:c>
      <x:c r="C7" s="888"/>
      <x:c r="D7" s="888"/>
      <x:c r="E7" s="888"/>
      <x:c r="F7" s="888"/>
      <x:c r="G7" s="888"/>
      <x:c r="H7" s="172"/>
      <x:c r="I7" s="172"/>
      <x:c r="J7" s="349" t="str">
        <x:f>SUBTOTAL(3,J8:J10)&amp;"건"</x:f>
        <x:v>0건</x:v>
      </x:c>
      <x:c r="K7" s="458">
        <x:f t="shared" ref="K7:Q7" si="5">SUBTOTAL(9,K8:K10)</x:f>
        <x:v>0</x:v>
      </x:c>
      <x:c r="L7" s="458">
        <x:f t="shared" si="5"/>
        <x:v>0</x:v>
      </x:c>
      <x:c r="M7" s="458">
        <x:f t="shared" si="5"/>
        <x:v>0</x:v>
      </x:c>
      <x:c r="N7" s="458">
        <x:f t="shared" si="5"/>
        <x:v>0</x:v>
      </x:c>
      <x:c r="O7" s="458">
        <x:f t="shared" si="5"/>
        <x:v>0</x:v>
      </x:c>
      <x:c r="P7" s="458">
        <x:f t="shared" si="5"/>
        <x:v>0</x:v>
      </x:c>
      <x:c r="Q7" s="458">
        <x:f t="shared" si="5"/>
        <x:v>0</x:v>
      </x:c>
      <x:c r="R7" s="171"/>
      <x:c r="S7" s="171"/>
      <x:c r="T7" s="171"/>
      <x:c r="U7" s="171"/>
      <x:c r="V7" s="171"/>
      <x:c r="W7" s="173"/>
      <x:c r="X7" s="171"/>
      <x:c r="Y7" s="43"/>
      <x:c r="Z7" s="458">
        <x:f>SUBTOTAL(9,Z8:Z10)</x:f>
        <x:v>0</x:v>
      </x:c>
      <x:c r="AA7" s="458">
        <x:f>SUBTOTAL(9,AA8:AA10)</x:f>
        <x:v>0</x:v>
      </x:c>
      <x:c r="AB7" s="556" t="str">
        <x:f>IF(COUNTIF(AB8:AB10,"@@")&gt;0,"@@","OK")</x:f>
        <x:v>OK</x:v>
      </x:c>
      <x:c r="AC7" s="44"/>
      <x:c r="AD7" s="458">
        <x:f>SUBTOTAL(9,AD8:AD10)</x:f>
        <x:v>0</x:v>
      </x:c>
      <x:c r="AE7" s="458">
        <x:f>SUBTOTAL(9,AE8:AE10)</x:f>
        <x:v>0</x:v>
      </x:c>
      <x:c r="AF7" s="556" t="str">
        <x:f>IF(COUNTIF(AF8:AF10,"@@")&gt;0,"@@","OK")</x:f>
        <x:v>OK</x:v>
      </x:c>
      <x:c r="AG7" s="44"/>
      <x:c r="AH7" s="171"/>
      <x:c r="AI7" s="171"/>
      <x:c r="AJ7" s="44"/>
      <x:c r="AK7" s="171"/>
      <x:c r="AL7" s="44"/>
      <x:c r="AM7" s="458">
        <x:f>SUBTOTAL(9,AM8:AM10)</x:f>
        <x:v>0</x:v>
      </x:c>
      <x:c r="AN7" s="458">
        <x:f>SUBTOTAL(9,AN8:AN10)</x:f>
        <x:v>0</x:v>
      </x:c>
      <x:c r="AO7" s="556" t="str">
        <x:f>IF(COUNTIF(AO8:AO10,"@@")&gt;0,"@@","OK")</x:f>
        <x:v>OK</x:v>
      </x:c>
      <x:c r="AP7" s="44"/>
      <x:c r="AQ7" s="458">
        <x:f t="shared" ref="AQ7:AR7" si="6">SUBTOTAL(9,AQ8:AQ10)</x:f>
        <x:v>0</x:v>
      </x:c>
      <x:c r="AR7" s="458">
        <x:f t="shared" si="6"/>
        <x:v>0</x:v>
      </x:c>
      <x:c r="AS7" s="556" t="str">
        <x:f>IF(COUNTIF(AS8:AS10,"@@")&gt;0,"@@","OK")</x:f>
        <x:v>OK</x:v>
      </x:c>
    </x:row>
    <x:row r="8" spans="1:45" s="20" customFormat="1" ht="80.099999999999994" customHeight="1">
      <x:c r="A8" s="155" t="str">
        <x:f>IF(D8="","",COUNTA($C$7:C8)-COUNTBLANK($C$7:C8)+1)</x:f>
        <x:v/>
      </x:c>
      <x:c r="B8" s="156" t="str">
        <x: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x:f>
        <x:v/>
      </x:c>
      <x:c r="C8" s="156" t="str">
        <x:f>IF(D8="","",IF(OR(D8="교육지원과",D8="총무과",D8="인사과"),"직접입력",VLOOKUP(D8,구분표!$A$3:$C$258,3,)))</x:f>
        <x:v/>
      </x:c>
      <x:c r="D8" s="226"/>
      <x:c r="E8" s="213"/>
      <x:c r="F8" s="388" t="str">
        <x:f>IF($E8="","",IF($E8="2추","직접입력","-"))</x:f>
        <x:v/>
      </x:c>
      <x:c r="G8" s="388" t="str">
        <x:f>IF($E8="","",IF($E8="2추","직접입력","-"))</x:f>
        <x:v/>
      </x:c>
      <x:c r="H8" s="214"/>
      <x:c r="I8" s="237" t="str">
        <x:f>IF(H8="","",VLOOKUP($H8,구분표!$O$3:$P$168,2,FALSE))</x:f>
        <x:v/>
      </x:c>
      <x:c r="J8" s="215"/>
      <x:c r="K8" s="459" t="str">
        <x:f>IF($E8="","",IF(OR($E8="2추",$E8="1추",$E8="본예산"),"금액입력","-"))</x:f>
        <x:v/>
      </x:c>
      <x:c r="L8" s="459" t="str">
        <x:f>IF($E8="","",IF($E8="2추","금액입력","-"))</x:f>
        <x:v/>
      </x:c>
      <x:c r="M8" s="461" t="str">
        <x:f>IF($E8="","",SUM(K8:L8))</x:f>
        <x:v/>
      </x:c>
      <x:c r="N8" s="460"/>
      <x:c r="O8" s="461">
        <x:f>SUM(M8:N8)</x:f>
        <x:v>0</x:v>
      </x:c>
      <x:c r="P8" s="462"/>
      <x:c r="Q8" s="463">
        <x:f>SUM(M8,P8)</x:f>
        <x:v>0</x:v>
      </x:c>
      <x:c r="R8" s="162" t="str">
        <x:f>IF(AND((O8=0),(Q8&gt;0)),"O",IF(AND((N8&lt;0),(O8-Q8&lt;0)),"O","X"))</x:f>
        <x:v>X</x:v>
      </x:c>
      <x:c r="S8" s="230"/>
      <x:c r="T8" s="225"/>
      <x:c r="U8" s="217"/>
      <x:c r="V8" s="203"/>
      <x:c r="W8" s="162" t="str">
        <x:f>IF($H8="","",IF(OR($H8="511-01",$H8="511-02",$H8="511-03",$H8="311-02",$H8="311-04",$H8="321-01"),"국도비","도비"))</x:f>
        <x:v/>
      </x:c>
      <x:c r="X8" s="217"/>
      <x:c r="Y8" s="45"/>
      <x:c r="Z8" s="508" t="str">
        <x:f>IF($W8="","",IF($W8="국도비",$N8,0))</x:f>
        <x:v/>
      </x:c>
      <x:c r="AA8" s="508" t="str">
        <x:f>IF($W8="","",IF($W8="도비",$N8,0))</x:f>
        <x:v/>
      </x:c>
      <x:c r="AB8" s="374" t="str">
        <x:f>IF($W8="","",IF($N8=SUM($Z8:$AA8),"OK","@@"))</x:f>
        <x:v/>
      </x:c>
      <x:c r="AC8" s="46"/>
      <x:c r="AD8" s="508" t="str">
        <x:f>IF($W8="","",IF($W8="국도비",$P8,0))</x:f>
        <x:v/>
      </x:c>
      <x:c r="AE8" s="508" t="str">
        <x:f>IF($W8="","",IF($W8="도비",$P8,0))</x:f>
        <x:v/>
      </x:c>
      <x:c r="AF8" s="374" t="str">
        <x:f>IF($W8="","",IF($P8=SUM($AD8:$AE8),"OK","@@"))</x:f>
        <x:v/>
      </x:c>
      <x:c r="AG8" s="46"/>
      <x:c r="AH8" s="374" t="str">
        <x:f>IF(AK8="","",IF($W8="도비","-",CONCATENATE(AK8,"-",COUNTIF(AK$7:$AK8,AK8))))</x:f>
        <x:v/>
      </x:c>
      <x:c r="AI8" s="374" t="str">
        <x:f>IF($H8="","",IF($H8="511-01","국비",IF($H8="511-02","균특",IF($H8="511-03","기금",IF($H8="311-02","특교",IF($H8="311-04","소교",IF($H8="321-01","소멸","도비")))))))</x:f>
        <x:v/>
      </x:c>
      <x:c r="AJ8" s="46"/>
      <x:c r="AK8" s="374" t="str">
        <x:f t="array" ref="AK8:AK8">IF(OR($D8="",$C8="직접입력",$B8="직접입력"),"",INDEX(구분표!$I$2:$I$337,MATCH(1,(구분표!$G$2:$G$337='5. 기입'!$B8)*(구분표!$E$2:$E$337='5. 기입'!$C8)*(구분표!$F$2:$F$337='5. 기입'!$D8),0)))</x:f>
        <x:v/>
      </x:c>
      <x:c r="AL8" s="47"/>
      <x:c r="AM8" s="472" t="str">
        <x:f>IF($AH8="","",IF($AH8="-",0,SUMIFS('5. 기출'!$AB$7:$AB$2012,'5. 기출'!$AJ$7:$AJ$2012,$AH8)))</x:f>
        <x:v/>
      </x:c>
      <x:c r="AN8" s="377" t="str">
        <x:f>IF($AH8="","",IF($AH8="-",0,COUNTIF('5. 기출'!$AJ$7:$AJ$2012,$AH8)))</x:f>
        <x:v/>
      </x:c>
      <x:c r="AO8" s="374" t="str">
        <x:f>IF($AH8="","",IF($Z8=$AM8,"OK","@@"))</x:f>
        <x:v/>
      </x:c>
      <x:c r="AP8" s="47"/>
      <x:c r="AQ8" s="472" t="str">
        <x:f>IF($AH8="","",IF($AH8="-",0,SUMIFS('5. 기출'!$AF$7:$AF$2012,'5. 기출'!$AJ$7:$AJ$2012,$AH8)))</x:f>
        <x:v/>
      </x:c>
      <x:c r="AR8" s="377" t="str">
        <x:f>IF($AH8="","",IF($AH8="-",0,COUNTIF('5. 기출'!$AJ$7:$AJ$2012,$AH8)))</x:f>
        <x:v/>
      </x:c>
      <x:c r="AS8" s="374" t="str">
        <x:f>IF($AH8="","",IF($AD8=$AQ8,"OK","@@"))</x:f>
        <x:v/>
      </x:c>
    </x:row>
    <x:row r="9" spans="1:45" s="20" customFormat="1" ht="80.099999999999994" customHeight="1">
      <x:c r="A9" s="155" t="str">
        <x:f>IF(D9="","",COUNTA($C$7:C9)-COUNTBLANK($C$7:C9)+1)</x:f>
        <x:v/>
      </x:c>
      <x:c r="B9" s="156" t="str">
        <x: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x:f>
        <x:v/>
      </x:c>
      <x:c r="C9" s="156" t="str">
        <x:f>IF(D9="","",IF(OR(D9="교육지원과",D9="총무과",D9="인사과"),"직접입력",VLOOKUP(D9,구분표!$A$3:$C$258,3,)))</x:f>
        <x:v/>
      </x:c>
      <x:c r="D9" s="226"/>
      <x:c r="E9" s="213"/>
      <x:c r="F9" s="388" t="str">
        <x:f t="shared" ref="F9:G10" si="7">IF($E9="","",IF($E9="2추","직접입력","-"))</x:f>
        <x:v/>
      </x:c>
      <x:c r="G9" s="388" t="str">
        <x:f t="shared" si="7"/>
        <x:v/>
      </x:c>
      <x:c r="H9" s="214"/>
      <x:c r="I9" s="237" t="str">
        <x:f>IF(H9="","",VLOOKUP($H9,구분표!$O$3:$P$168,2,FALSE))</x:f>
        <x:v/>
      </x:c>
      <x:c r="J9" s="215"/>
      <x:c r="K9" s="459" t="str">
        <x:f t="shared" ref="K9:K10" si="8">IF($E9="","",IF(OR($E9="2추",$E9="1추",$E9="본예산"),"금액입력","-"))</x:f>
        <x:v/>
      </x:c>
      <x:c r="L9" s="459" t="str">
        <x:f t="shared" ref="L9:L10" si="9">IF($E9="","",IF($E9="2추","금액입력","-"))</x:f>
        <x:v/>
      </x:c>
      <x:c r="M9" s="461" t="str">
        <x:f t="shared" ref="M9:M10" si="10">IF($E9="","",SUM(K9:L9))</x:f>
        <x:v/>
      </x:c>
      <x:c r="N9" s="460"/>
      <x:c r="O9" s="461">
        <x:f t="shared" ref="O9:O10" si="11">SUM(M9:N9)</x:f>
        <x:v>0</x:v>
      </x:c>
      <x:c r="P9" s="462"/>
      <x:c r="Q9" s="463">
        <x:f t="shared" ref="Q9:Q10" si="12">SUM(M9,P9)</x:f>
        <x:v>0</x:v>
      </x:c>
      <x:c r="R9" s="162" t="str">
        <x:f t="shared" ref="R9:R10" si="13">IF(AND((O9=0),(Q9&gt;0)),"O",IF(AND((N9&lt;0),(O9-Q9&lt;0)),"O","X"))</x:f>
        <x:v>X</x:v>
      </x:c>
      <x:c r="S9" s="230"/>
      <x:c r="T9" s="225"/>
      <x:c r="U9" s="217"/>
      <x:c r="V9" s="203"/>
      <x:c r="W9" s="162" t="str">
        <x:f t="shared" ref="W9:W10" si="14">IF($H9="","",IF(OR($H9="511-01",$H9="511-02",$H9="511-03",$H9="311-02",$H9="311-04",$H9="321-01"),"국도비","도비"))</x:f>
        <x:v/>
      </x:c>
      <x:c r="X9" s="217"/>
      <x:c r="Y9" s="45"/>
      <x:c r="Z9" s="508" t="str">
        <x:f t="shared" ref="Z9:Z10" si="15">IF($W9="","",IF($W9="국도비",$N9,0))</x:f>
        <x:v/>
      </x:c>
      <x:c r="AA9" s="508" t="str">
        <x:f t="shared" ref="AA9:AA10" si="16">IF($W9="","",IF($W9="도비",$N9,0))</x:f>
        <x:v/>
      </x:c>
      <x:c r="AB9" s="374" t="str">
        <x:f t="shared" ref="AB9:AB10" si="17">IF($W9="","",IF($N9=SUM($Z9:$AA9),"OK","@@"))</x:f>
        <x:v/>
      </x:c>
      <x:c r="AC9" s="46"/>
      <x:c r="AD9" s="508" t="str">
        <x:f t="shared" ref="AD9:AD10" si="18">IF($W9="","",IF($W9="국도비",$P9,0))</x:f>
        <x:v/>
      </x:c>
      <x:c r="AE9" s="508" t="str">
        <x:f t="shared" ref="AE9:AE10" si="19">IF($W9="","",IF($W9="도비",$P9,0))</x:f>
        <x:v/>
      </x:c>
      <x:c r="AF9" s="374" t="str">
        <x:f t="shared" ref="AF9:AF10" si="20">IF($W9="","",IF($P9=SUM($AD9:$AE9),"OK","@@"))</x:f>
        <x:v/>
      </x:c>
      <x:c r="AG9" s="46"/>
      <x:c r="AH9" s="374" t="str">
        <x:f>IF(AK9="","",IF($W9="도비","-",CONCATENATE(AK9,"-",COUNTIF(AK$7:$AK9,AK9))))</x:f>
        <x:v/>
      </x:c>
      <x:c r="AI9" s="374" t="str">
        <x:f t="shared" ref="AI9:AI10" si="21">IF($H9="","",IF($H9="511-01","국비",IF($H9="511-02","균특",IF($H9="511-03","기금",IF($H9="311-02","특교",IF($H9="311-04","소교",IF($H9="321-01","소멸","도비")))))))</x:f>
        <x:v/>
      </x:c>
      <x:c r="AJ9" s="46"/>
      <x:c r="AK9" s="374" t="str">
        <x:f t="array" ref="AK9:AK9">IF(OR($D9="",$C9="직접입력",$B9="직접입력"),"",INDEX(구분표!$I$2:$I$337,MATCH(1,(구분표!$G$2:$G$337='5. 기입'!$B9)*(구분표!$E$2:$E$337='5. 기입'!$C9)*(구분표!$F$2:$F$337='5. 기입'!$D9),0)))</x:f>
        <x:v/>
      </x:c>
      <x:c r="AL9" s="47"/>
      <x:c r="AM9" s="472" t="str">
        <x:f>IF($AH9="","",IF($AH9="-",0,SUMIFS('5. 기출'!$AB$7:$AB$2012,'5. 기출'!$AJ$7:$AJ$2012,$AH9)))</x:f>
        <x:v/>
      </x:c>
      <x:c r="AN9" s="377" t="str">
        <x:f>IF($AH9="","",IF($AH9="-",0,COUNTIF('5. 기출'!$AJ$7:$AJ$2012,$AH9)))</x:f>
        <x:v/>
      </x:c>
      <x:c r="AO9" s="374" t="str">
        <x:f t="shared" ref="AO9:AO10" si="22">IF($AH9="","",IF($Z9=$AM9,"OK","@@"))</x:f>
        <x:v/>
      </x:c>
      <x:c r="AP9" s="47"/>
      <x:c r="AQ9" s="472" t="str">
        <x:f>IF($AH9="","",IF($AH9="-",0,SUMIFS('5. 기출'!$AF$7:$AF$2012,'5. 기출'!$AJ$7:$AJ$2012,$AH9)))</x:f>
        <x:v/>
      </x:c>
      <x:c r="AR9" s="377" t="str">
        <x:f>IF($AH9="","",IF($AH9="-",0,COUNTIF('5. 기출'!$AJ$7:$AJ$2012,$AH9)))</x:f>
        <x:v/>
      </x:c>
      <x:c r="AS9" s="374" t="str">
        <x:f t="shared" ref="AS9:AS10" si="23">IF($AH9="","",IF($AD9=$AQ9,"OK","@@"))</x:f>
        <x:v/>
      </x:c>
    </x:row>
    <x:row r="10" spans="1:45" s="20" customFormat="1" ht="80.099999999999994" customHeight="1">
      <x:c r="A10" s="155" t="str">
        <x:f>IF(D10="","",COUNTA($C$7:C10)-COUNTBLANK($C$7:C10)+1)</x:f>
        <x:v/>
      </x:c>
      <x:c r="B10" s="156" t="str">
        <x: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x:f>
        <x:v/>
      </x:c>
      <x:c r="C10" s="156" t="str">
        <x:f>IF(D10="","",IF(OR(D10="교육지원과",D10="총무과",D10="인사과"),"직접입력",VLOOKUP(D10,구분표!$A$3:$C$258,3,)))</x:f>
        <x:v/>
      </x:c>
      <x:c r="D10" s="226"/>
      <x:c r="E10" s="213"/>
      <x:c r="F10" s="388" t="str">
        <x:f t="shared" si="7"/>
        <x:v/>
      </x:c>
      <x:c r="G10" s="388" t="str">
        <x:f t="shared" si="7"/>
        <x:v/>
      </x:c>
      <x:c r="H10" s="214"/>
      <x:c r="I10" s="237" t="str">
        <x:f>IF(H10="","",VLOOKUP($H10,구분표!$O$3:$P$168,2,FALSE))</x:f>
        <x:v/>
      </x:c>
      <x:c r="J10" s="215"/>
      <x:c r="K10" s="459" t="str">
        <x:f t="shared" si="8"/>
        <x:v/>
      </x:c>
      <x:c r="L10" s="459" t="str">
        <x:f t="shared" si="9"/>
        <x:v/>
      </x:c>
      <x:c r="M10" s="461" t="str">
        <x:f t="shared" si="10"/>
        <x:v/>
      </x:c>
      <x:c r="N10" s="460"/>
      <x:c r="O10" s="461">
        <x:f t="shared" si="11"/>
        <x:v>0</x:v>
      </x:c>
      <x:c r="P10" s="462"/>
      <x:c r="Q10" s="463">
        <x:f t="shared" si="12"/>
        <x:v>0</x:v>
      </x:c>
      <x:c r="R10" s="162" t="str">
        <x:f t="shared" si="13"/>
        <x:v>X</x:v>
      </x:c>
      <x:c r="S10" s="230"/>
      <x:c r="T10" s="225"/>
      <x:c r="U10" s="217"/>
      <x:c r="V10" s="203"/>
      <x:c r="W10" s="162" t="str">
        <x:f t="shared" si="14"/>
        <x:v/>
      </x:c>
      <x:c r="X10" s="217"/>
      <x:c r="Y10" s="45"/>
      <x:c r="Z10" s="508" t="str">
        <x:f t="shared" si="15"/>
        <x:v/>
      </x:c>
      <x:c r="AA10" s="508" t="str">
        <x:f t="shared" si="16"/>
        <x:v/>
      </x:c>
      <x:c r="AB10" s="374" t="str">
        <x:f t="shared" si="17"/>
        <x:v/>
      </x:c>
      <x:c r="AC10" s="46"/>
      <x:c r="AD10" s="508" t="str">
        <x:f t="shared" si="18"/>
        <x:v/>
      </x:c>
      <x:c r="AE10" s="508" t="str">
        <x:f t="shared" si="19"/>
        <x:v/>
      </x:c>
      <x:c r="AF10" s="374" t="str">
        <x:f t="shared" si="20"/>
        <x:v/>
      </x:c>
      <x:c r="AG10" s="46"/>
      <x:c r="AH10" s="374" t="str">
        <x:f>IF(AK10="","",IF($W10="도비","-",CONCATENATE(AK10,"-",COUNTIF(AK$7:$AK10,AK10))))</x:f>
        <x:v/>
      </x:c>
      <x:c r="AI10" s="374" t="str">
        <x:f t="shared" si="21"/>
        <x:v/>
      </x:c>
      <x:c r="AJ10" s="46"/>
      <x:c r="AK10" s="374" t="str">
        <x:f t="array" ref="AK10:AK10">IF(OR($D10="",$C10="직접입력",$B10="직접입력"),"",INDEX(구분표!$I$2:$I$337,MATCH(1,(구분표!$G$2:$G$337='5. 기입'!$B10)*(구분표!$E$2:$E$337='5. 기입'!$C10)*(구분표!$F$2:$F$337='5. 기입'!$D10),0)))</x:f>
        <x:v/>
      </x:c>
      <x:c r="AL10" s="47"/>
      <x:c r="AM10" s="472" t="str">
        <x:f>IF($AH10="","",IF($AH10="-",0,SUMIFS('5. 기출'!$AB$7:$AB$2012,'5. 기출'!$AJ$7:$AJ$2012,$AH10)))</x:f>
        <x:v/>
      </x:c>
      <x:c r="AN10" s="377" t="str">
        <x:f>IF($AH10="","",IF($AH10="-",0,COUNTIF('5. 기출'!$AJ$7:$AJ$2012,$AH10)))</x:f>
        <x:v/>
      </x:c>
      <x:c r="AO10" s="374" t="str">
        <x:f t="shared" si="22"/>
        <x:v/>
      </x:c>
      <x:c r="AP10" s="47"/>
      <x:c r="AQ10" s="472" t="str">
        <x:f>IF($AH10="","",IF($AH10="-",0,SUMIFS('5. 기출'!$AF$7:$AF$2012,'5. 기출'!$AJ$7:$AJ$2012,$AH10)))</x:f>
        <x:v/>
      </x:c>
      <x:c r="AR10" s="377" t="str">
        <x:f>IF($AH10="","",IF($AH10="-",0,COUNTIF('5. 기출'!$AJ$7:$AJ$2012,$AH10)))</x:f>
        <x:v/>
      </x:c>
      <x:c r="AS10" s="374" t="str">
        <x:f t="shared" si="23"/>
        <x:v/>
      </x:c>
    </x:row>
    <x:row r="11" spans="1:45" ht="60" customHeight="1">
      <x:c r="A11" s="171"/>
      <x:c r="B11" s="888" t="s">
        <x:v>1455</x:v>
      </x:c>
      <x:c r="C11" s="888"/>
      <x:c r="D11" s="888"/>
      <x:c r="E11" s="888"/>
      <x:c r="F11" s="888"/>
      <x:c r="G11" s="888"/>
      <x:c r="H11" s="79"/>
      <x:c r="I11" s="79"/>
      <x:c r="J11" s="349" t="str">
        <x:f>SUBTOTAL(3,J12:J14)&amp;"건"</x:f>
        <x:v>0건</x:v>
      </x:c>
      <x:c r="K11" s="458">
        <x:f t="shared" ref="K11:Q11" si="24">SUBTOTAL(9,K12:K14)</x:f>
        <x:v>0</x:v>
      </x:c>
      <x:c r="L11" s="458">
        <x:f t="shared" si="24"/>
        <x:v>0</x:v>
      </x:c>
      <x:c r="M11" s="458">
        <x:f t="shared" si="24"/>
        <x:v>0</x:v>
      </x:c>
      <x:c r="N11" s="458">
        <x:f t="shared" si="24"/>
        <x:v>0</x:v>
      </x:c>
      <x:c r="O11" s="458">
        <x:f t="shared" si="24"/>
        <x:v>0</x:v>
      </x:c>
      <x:c r="P11" s="458">
        <x:f t="shared" si="24"/>
        <x:v>0</x:v>
      </x:c>
      <x:c r="Q11" s="458">
        <x:f t="shared" si="24"/>
        <x:v>0</x:v>
      </x:c>
      <x:c r="R11" s="78"/>
      <x:c r="S11" s="78"/>
      <x:c r="T11" s="78"/>
      <x:c r="U11" s="78"/>
      <x:c r="V11" s="78"/>
      <x:c r="W11" s="80"/>
      <x:c r="X11" s="80"/>
      <x:c r="Y11" s="43"/>
      <x:c r="Z11" s="458">
        <x:f>SUBTOTAL(9,Z12:Z14)</x:f>
        <x:v>0</x:v>
      </x:c>
      <x:c r="AA11" s="458">
        <x:f>SUBTOTAL(9,AA12:AA14)</x:f>
        <x:v>0</x:v>
      </x:c>
      <x:c r="AB11" s="556" t="str">
        <x:f>IF(COUNTIF(AB12:AB14,"@@")&gt;0,"@@","OK")</x:f>
        <x:v>OK</x:v>
      </x:c>
      <x:c r="AC11" s="44"/>
      <x:c r="AD11" s="458">
        <x:f>SUBTOTAL(9,AD12:AD14)</x:f>
        <x:v>0</x:v>
      </x:c>
      <x:c r="AE11" s="458">
        <x:f>SUBTOTAL(9,AE12:AE14)</x:f>
        <x:v>0</x:v>
      </x:c>
      <x:c r="AF11" s="556" t="str">
        <x:f>IF(COUNTIF(AF12:AF14,"@@")&gt;0,"@@","OK")</x:f>
        <x:v>OK</x:v>
      </x:c>
      <x:c r="AG11" s="44"/>
      <x:c r="AH11" s="171"/>
      <x:c r="AI11" s="171"/>
      <x:c r="AJ11" s="44"/>
      <x:c r="AK11" s="171"/>
      <x:c r="AL11" s="44"/>
      <x:c r="AM11" s="458">
        <x:f>SUBTOTAL(9,AM12:AM14)</x:f>
        <x:v>0</x:v>
      </x:c>
      <x:c r="AN11" s="458">
        <x:f>SUBTOTAL(9,AN12:AN14)</x:f>
        <x:v>0</x:v>
      </x:c>
      <x:c r="AO11" s="556" t="str">
        <x:f>IF(COUNTIF(AO12:AO14,"@@")&gt;0,"@@","OK")</x:f>
        <x:v>OK</x:v>
      </x:c>
      <x:c r="AP11" s="44"/>
      <x:c r="AQ11" s="458">
        <x:f>SUBTOTAL(9,AQ12:AQ14)</x:f>
        <x:v>0</x:v>
      </x:c>
      <x:c r="AR11" s="458">
        <x:f>SUBTOTAL(9,AR12:AR14)</x:f>
        <x:v>0</x:v>
      </x:c>
      <x:c r="AS11" s="556" t="str">
        <x:f>IF(COUNTIF(AS12:AS14,"@@")&gt;0,"@@","OK")</x:f>
        <x:v>OK</x:v>
      </x:c>
    </x:row>
    <x:row r="12" spans="1:45" s="20" customFormat="1" ht="80.099999999999994" customHeight="1">
      <x:c r="A12" s="155" t="str">
        <x:f>IF(D12="","",COUNTA($C$7:C12)-COUNTBLANK($C$7:C12)+2)</x:f>
        <x:v/>
      </x:c>
      <x:c r="B12" s="156" t="str">
        <x: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x:f>
        <x:v/>
      </x:c>
      <x:c r="C12" s="156" t="str">
        <x:f>IF(D12="","",IF(OR(D12="교육지원과",D12="총무과",D12="인사과"),"직접입력",VLOOKUP(D12,구분표!$A$3:$C$258,3,)))</x:f>
        <x:v/>
      </x:c>
      <x:c r="D12" s="226"/>
      <x:c r="E12" s="213"/>
      <x:c r="F12" s="388" t="str">
        <x:f>IF($E12="","",IF($E12="2추","직접입력","-"))</x:f>
        <x:v/>
      </x:c>
      <x:c r="G12" s="388" t="str">
        <x:f>IF($E12="","",IF($E12="2추","직접입력","-"))</x:f>
        <x:v/>
      </x:c>
      <x:c r="H12" s="214"/>
      <x:c r="I12" s="237" t="str">
        <x:f>IF(H12="","",VLOOKUP($H12,구분표!$O$3:$P$168,2,FALSE))</x:f>
        <x:v/>
      </x:c>
      <x:c r="J12" s="215"/>
      <x:c r="K12" s="459" t="str">
        <x:f>IF($E12="","",IF(OR($E12="2추",$E12="1추",$E12="본예산"),"금액입력","-"))</x:f>
        <x:v/>
      </x:c>
      <x:c r="L12" s="459" t="str">
        <x:f>IF($E12="","",IF($E12="2추","금액입력","-"))</x:f>
        <x:v/>
      </x:c>
      <x:c r="M12" s="461" t="str">
        <x:f t="shared" ref="M12:M14" si="25">IF($E12="","",SUM(K12:L12))</x:f>
        <x:v/>
      </x:c>
      <x:c r="N12" s="460"/>
      <x:c r="O12" s="461">
        <x:f t="shared" ref="O12:O14" si="26">SUM(M12:N12)</x:f>
        <x:v>0</x:v>
      </x:c>
      <x:c r="P12" s="462"/>
      <x:c r="Q12" s="463">
        <x:f t="shared" ref="Q12:Q14" si="27">SUM(M12,P12)</x:f>
        <x:v>0</x:v>
      </x:c>
      <x:c r="R12" s="162" t="str">
        <x:f t="shared" ref="R12:R14" si="28">IF(AND((O12=0),(Q12&gt;0)),"O",IF(AND((N12&lt;0),(O12-Q12&lt;0)),"O","X"))</x:f>
        <x:v>X</x:v>
      </x:c>
      <x:c r="S12" s="230"/>
      <x:c r="T12" s="225"/>
      <x:c r="U12" s="217"/>
      <x:c r="V12" s="203"/>
      <x:c r="W12" s="162" t="str">
        <x:f t="shared" ref="W12:W14" si="29">IF($H12="","",IF(OR($H12="511-01",$H12="511-02",$H12="511-03",$H12="311-02",$H12="311-04",$H12="321-01"),"국도비","도비"))</x:f>
        <x:v/>
      </x:c>
      <x:c r="X12" s="217"/>
      <x:c r="Y12" s="45"/>
      <x:c r="Z12" s="508" t="str">
        <x:f t="shared" ref="Z12:Z14" si="30">IF($W12="","",IF($W12="국도비",$N12,0))</x:f>
        <x:v/>
      </x:c>
      <x:c r="AA12" s="508" t="str">
        <x:f t="shared" ref="AA12:AA14" si="31">IF($W12="","",IF($W12="도비",$N12,0))</x:f>
        <x:v/>
      </x:c>
      <x:c r="AB12" s="374" t="str">
        <x:f t="shared" ref="AB12:AB14" si="32">IF($W12="","",IF($N12=SUM($Z12:$AA12),"OK","@@"))</x:f>
        <x:v/>
      </x:c>
      <x:c r="AC12" s="46"/>
      <x:c r="AD12" s="508" t="str">
        <x:f t="shared" ref="AD12:AD14" si="33">IF($W12="","",IF($W12="국도비",$P12,0))</x:f>
        <x:v/>
      </x:c>
      <x:c r="AE12" s="508" t="str">
        <x:f t="shared" ref="AE12:AE14" si="34">IF($W12="","",IF($W12="도비",$P12,0))</x:f>
        <x:v/>
      </x:c>
      <x:c r="AF12" s="374" t="str">
        <x:f t="shared" ref="AF12:AF14" si="35">IF($W12="","",IF($P12=SUM($AD12:$AE12),"OK","@@"))</x:f>
        <x:v/>
      </x:c>
      <x:c r="AG12" s="46"/>
      <x:c r="AH12" s="374" t="str">
        <x:f>IF(AK12="","",IF($W12="도비","-",CONCATENATE(AK12,"-",COUNTIF(AK$7:$AK12,AK12))))</x:f>
        <x:v/>
      </x:c>
      <x:c r="AI12" s="374" t="str">
        <x:f t="shared" ref="AI12:AI14" si="36">IF($H12="","",IF($H12="511-01","국비",IF($H12="511-02","균특",IF($H12="511-03","기금",IF($H12="311-02","특교",IF($H12="311-04","소교",IF($H12="321-01","소멸","도비")))))))</x:f>
        <x:v/>
      </x:c>
      <x:c r="AJ12" s="46"/>
      <x:c r="AK12" s="374" t="str">
        <x:f t="array" ref="AK12:AK12">IF(OR($D12="",$C12="직접입력",$B12="직접입력"),"",INDEX(구분표!$I$2:$I$337,MATCH(1,(구분표!$G$2:$G$337='5. 기입'!$B12)*(구분표!$E$2:$E$337='5. 기입'!$C12)*(구분표!$F$2:$F$337='5. 기입'!$D12),0)))</x:f>
        <x:v/>
      </x:c>
      <x:c r="AL12" s="47"/>
      <x:c r="AM12" s="472" t="str">
        <x:f>IF($AH12="","",IF($AH12="-",0,SUMIFS('5. 기출'!$AB$7:$AB$2012,'5. 기출'!$AJ$7:$AJ$2012,$AH12)))</x:f>
        <x:v/>
      </x:c>
      <x:c r="AN12" s="377" t="str">
        <x:f>IF($AH12="","",IF($AH12="-",0,COUNTIF('5. 기출'!$AJ$7:$AJ$2012,$AH12)))</x:f>
        <x:v/>
      </x:c>
      <x:c r="AO12" s="374" t="str">
        <x:f t="shared" ref="AO12:AO14" si="37">IF($AH12="","",IF($Z12=$AM12,"OK","@@"))</x:f>
        <x:v/>
      </x:c>
      <x:c r="AP12" s="47"/>
      <x:c r="AQ12" s="472" t="str">
        <x:f>IF($AH12="","",IF($AH12="-",0,SUMIFS('5. 기출'!$AF$7:$AF$2012,'5. 기출'!$AJ$7:$AJ$2012,$AH12)))</x:f>
        <x:v/>
      </x:c>
      <x:c r="AR12" s="377" t="str">
        <x:f>IF($AH12="","",IF($AH12="-",0,COUNTIF('5. 기출'!$AJ$7:$AJ$2012,$AH12)))</x:f>
        <x:v/>
      </x:c>
      <x:c r="AS12" s="374" t="str">
        <x:f t="shared" ref="AS12:AS14" si="38">IF($AH12="","",IF($AD12=$AQ12,"OK","@@"))</x:f>
        <x:v/>
      </x:c>
    </x:row>
    <x:row r="13" spans="1:45" s="20" customFormat="1" ht="80.099999999999994" customHeight="1">
      <x:c r="A13" s="155" t="str">
        <x:f>IF(D13="","",COUNTA($C$7:C13)-COUNTBLANK($C$7:C13)+2)</x:f>
        <x:v/>
      </x:c>
      <x:c r="B13" s="156" t="str">
        <x: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x:f>
        <x:v/>
      </x:c>
      <x:c r="C13" s="156" t="str">
        <x:f>IF(D13="","",IF(OR(D13="교육지원과",D13="총무과",D13="인사과"),"직접입력",VLOOKUP(D13,구분표!$A$3:$C$258,3,)))</x:f>
        <x:v/>
      </x:c>
      <x:c r="D13" s="226"/>
      <x:c r="E13" s="213"/>
      <x:c r="F13" s="388" t="str">
        <x:f t="shared" ref="F13:G14" si="39">IF($E13="","",IF($E13="2추","직접입력","-"))</x:f>
        <x:v/>
      </x:c>
      <x:c r="G13" s="388" t="str">
        <x:f t="shared" si="39"/>
        <x:v/>
      </x:c>
      <x:c r="H13" s="214"/>
      <x:c r="I13" s="237" t="str">
        <x:f>IF(H13="","",VLOOKUP($H13,구분표!$O$3:$P$168,2,FALSE))</x:f>
        <x:v/>
      </x:c>
      <x:c r="J13" s="215"/>
      <x:c r="K13" s="459" t="str">
        <x:f t="shared" ref="K13:K14" si="40">IF($E13="","",IF(OR($E13="2추",$E13="1추",$E13="본예산"),"금액입력","-"))</x:f>
        <x:v/>
      </x:c>
      <x:c r="L13" s="459" t="str">
        <x:f t="shared" ref="L13:L14" si="41">IF($E13="","",IF($E13="2추","금액입력","-"))</x:f>
        <x:v/>
      </x:c>
      <x:c r="M13" s="461" t="str">
        <x:f t="shared" si="25"/>
        <x:v/>
      </x:c>
      <x:c r="N13" s="460"/>
      <x:c r="O13" s="461">
        <x:f t="shared" si="26"/>
        <x:v>0</x:v>
      </x:c>
      <x:c r="P13" s="462"/>
      <x:c r="Q13" s="463">
        <x:f t="shared" si="27"/>
        <x:v>0</x:v>
      </x:c>
      <x:c r="R13" s="162" t="str">
        <x:f t="shared" si="28"/>
        <x:v>X</x:v>
      </x:c>
      <x:c r="S13" s="230"/>
      <x:c r="T13" s="225"/>
      <x:c r="U13" s="217"/>
      <x:c r="V13" s="203"/>
      <x:c r="W13" s="162" t="str">
        <x:f t="shared" si="29"/>
        <x:v/>
      </x:c>
      <x:c r="X13" s="217"/>
      <x:c r="Y13" s="45"/>
      <x:c r="Z13" s="508" t="str">
        <x:f t="shared" si="30"/>
        <x:v/>
      </x:c>
      <x:c r="AA13" s="508" t="str">
        <x:f t="shared" si="31"/>
        <x:v/>
      </x:c>
      <x:c r="AB13" s="374" t="str">
        <x:f t="shared" si="32"/>
        <x:v/>
      </x:c>
      <x:c r="AC13" s="46"/>
      <x:c r="AD13" s="508" t="str">
        <x:f t="shared" si="33"/>
        <x:v/>
      </x:c>
      <x:c r="AE13" s="508" t="str">
        <x:f t="shared" si="34"/>
        <x:v/>
      </x:c>
      <x:c r="AF13" s="374" t="str">
        <x:f t="shared" si="35"/>
        <x:v/>
      </x:c>
      <x:c r="AG13" s="46"/>
      <x:c r="AH13" s="374" t="str">
        <x:f>IF(AK13="","",IF($W13="도비","-",CONCATENATE(AK13,"-",COUNTIF(AK$7:$AK13,AK13))))</x:f>
        <x:v/>
      </x:c>
      <x:c r="AI13" s="374" t="str">
        <x:f t="shared" si="36"/>
        <x:v/>
      </x:c>
      <x:c r="AJ13" s="46"/>
      <x:c r="AK13" s="374" t="str">
        <x:f t="array" ref="AK13:AK13">IF(OR($D13="",$C13="직접입력",$B13="직접입력"),"",INDEX(구분표!$I$2:$I$337,MATCH(1,(구분표!$G$2:$G$337='5. 기입'!$B13)*(구분표!$E$2:$E$337='5. 기입'!$C13)*(구분표!$F$2:$F$337='5. 기입'!$D13),0)))</x:f>
        <x:v/>
      </x:c>
      <x:c r="AL13" s="47"/>
      <x:c r="AM13" s="472" t="str">
        <x:f>IF($AH13="","",IF($AH13="-",0,SUMIFS('5. 기출'!$AB$7:$AB$2012,'5. 기출'!$AJ$7:$AJ$2012,$AH13)))</x:f>
        <x:v/>
      </x:c>
      <x:c r="AN13" s="377" t="str">
        <x:f>IF($AH13="","",IF($AH13="-",0,COUNTIF('5. 기출'!$AJ$7:$AJ$2012,$AH13)))</x:f>
        <x:v/>
      </x:c>
      <x:c r="AO13" s="374" t="str">
        <x:f t="shared" si="37"/>
        <x:v/>
      </x:c>
      <x:c r="AP13" s="47"/>
      <x:c r="AQ13" s="472" t="str">
        <x:f>IF($AH13="","",IF($AH13="-",0,SUMIFS('5. 기출'!$AF$7:$AF$2012,'5. 기출'!$AJ$7:$AJ$2012,$AH13)))</x:f>
        <x:v/>
      </x:c>
      <x:c r="AR13" s="377" t="str">
        <x:f>IF($AH13="","",IF($AH13="-",0,COUNTIF('5. 기출'!$AJ$7:$AJ$2012,$AH13)))</x:f>
        <x:v/>
      </x:c>
      <x:c r="AS13" s="374" t="str">
        <x:f t="shared" si="38"/>
        <x:v/>
      </x:c>
    </x:row>
    <x:row r="14" spans="1:45" s="20" customFormat="1" ht="80.099999999999994" customHeight="1">
      <x:c r="A14" s="155" t="str">
        <x:f>IF(D14="","",COUNTA($C$7:C14)-COUNTBLANK($C$7:C14)+2)</x:f>
        <x:v/>
      </x:c>
      <x:c r="B14" s="156" t="str">
        <x: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x:f>
        <x:v/>
      </x:c>
      <x:c r="C14" s="156" t="str">
        <x:f>IF(D14="","",IF(OR(D14="교육지원과",D14="총무과",D14="인사과"),"직접입력",VLOOKUP(D14,구분표!$A$3:$C$258,3,)))</x:f>
        <x:v/>
      </x:c>
      <x:c r="D14" s="226"/>
      <x:c r="E14" s="213"/>
      <x:c r="F14" s="388" t="str">
        <x:f t="shared" si="39"/>
        <x:v/>
      </x:c>
      <x:c r="G14" s="388" t="str">
        <x:f t="shared" si="39"/>
        <x:v/>
      </x:c>
      <x:c r="H14" s="214"/>
      <x:c r="I14" s="237" t="str">
        <x:f>IF(H14="","",VLOOKUP($H14,구분표!$O$3:$P$168,2,FALSE))</x:f>
        <x:v/>
      </x:c>
      <x:c r="J14" s="215"/>
      <x:c r="K14" s="459" t="str">
        <x:f t="shared" si="40"/>
        <x:v/>
      </x:c>
      <x:c r="L14" s="459" t="str">
        <x:f t="shared" si="41"/>
        <x:v/>
      </x:c>
      <x:c r="M14" s="461" t="str">
        <x:f t="shared" si="25"/>
        <x:v/>
      </x:c>
      <x:c r="N14" s="460"/>
      <x:c r="O14" s="461">
        <x:f t="shared" si="26"/>
        <x:v>0</x:v>
      </x:c>
      <x:c r="P14" s="462"/>
      <x:c r="Q14" s="463">
        <x:f t="shared" si="27"/>
        <x:v>0</x:v>
      </x:c>
      <x:c r="R14" s="162" t="str">
        <x:f t="shared" si="28"/>
        <x:v>X</x:v>
      </x:c>
      <x:c r="S14" s="230"/>
      <x:c r="T14" s="225"/>
      <x:c r="U14" s="217"/>
      <x:c r="V14" s="203"/>
      <x:c r="W14" s="162" t="str">
        <x:f t="shared" si="29"/>
        <x:v/>
      </x:c>
      <x:c r="X14" s="217"/>
      <x:c r="Y14" s="45"/>
      <x:c r="Z14" s="508" t="str">
        <x:f t="shared" si="30"/>
        <x:v/>
      </x:c>
      <x:c r="AA14" s="508" t="str">
        <x:f t="shared" si="31"/>
        <x:v/>
      </x:c>
      <x:c r="AB14" s="374" t="str">
        <x:f t="shared" si="32"/>
        <x:v/>
      </x:c>
      <x:c r="AC14" s="46"/>
      <x:c r="AD14" s="508" t="str">
        <x:f t="shared" si="33"/>
        <x:v/>
      </x:c>
      <x:c r="AE14" s="508" t="str">
        <x:f t="shared" si="34"/>
        <x:v/>
      </x:c>
      <x:c r="AF14" s="374" t="str">
        <x:f t="shared" si="35"/>
        <x:v/>
      </x:c>
      <x:c r="AG14" s="46"/>
      <x:c r="AH14" s="374" t="str">
        <x:f>IF(AK14="","",IF($W14="도비","-",CONCATENATE(AK14,"-",COUNTIF(AK$7:$AK14,AK14))))</x:f>
        <x:v/>
      </x:c>
      <x:c r="AI14" s="374" t="str">
        <x:f t="shared" si="36"/>
        <x:v/>
      </x:c>
      <x:c r="AJ14" s="46"/>
      <x:c r="AK14" s="374" t="str">
        <x:f t="array" ref="AK14:AK14">IF(OR($D14="",$C14="직접입력",$B14="직접입력"),"",INDEX(구분표!$I$2:$I$337,MATCH(1,(구분표!$G$2:$G$337='5. 기입'!$B14)*(구분표!$E$2:$E$337='5. 기입'!$C14)*(구분표!$F$2:$F$337='5. 기입'!$D14),0)))</x:f>
        <x:v/>
      </x:c>
      <x:c r="AL14" s="47"/>
      <x:c r="AM14" s="472" t="str">
        <x:f>IF($AH14="","",IF($AH14="-",0,SUMIFS('5. 기출'!$AB$7:$AB$2012,'5. 기출'!$AJ$7:$AJ$2012,$AH14)))</x:f>
        <x:v/>
      </x:c>
      <x:c r="AN14" s="377" t="str">
        <x:f>IF($AH14="","",IF($AH14="-",0,COUNTIF('5. 기출'!$AJ$7:$AJ$2012,$AH14)))</x:f>
        <x:v/>
      </x:c>
      <x:c r="AO14" s="374" t="str">
        <x:f t="shared" si="37"/>
        <x:v/>
      </x:c>
      <x:c r="AP14" s="47"/>
      <x:c r="AQ14" s="472" t="str">
        <x:f>IF($AH14="","",IF($AH14="-",0,SUMIFS('5. 기출'!$AF$7:$AF$2012,'5. 기출'!$AJ$7:$AJ$2012,$AH14)))</x:f>
        <x:v/>
      </x:c>
      <x:c r="AR14" s="377" t="str">
        <x:f>IF($AH14="","",IF($AH14="-",0,COUNTIF('5. 기출'!$AJ$7:$AJ$2012,$AH14)))</x:f>
        <x:v/>
      </x:c>
      <x:c r="AS14" s="374" t="str">
        <x:f t="shared" si="38"/>
        <x:v/>
      </x:c>
    </x:row>
    <x:row r="15" spans="1:45" ht="60" customHeight="1">
      <x:c r="A15" s="171"/>
      <x:c r="B15" s="888" t="s">
        <x:v>879</x:v>
      </x:c>
      <x:c r="C15" s="888"/>
      <x:c r="D15" s="888"/>
      <x:c r="E15" s="888"/>
      <x:c r="F15" s="888"/>
      <x:c r="G15" s="888"/>
      <x:c r="H15" s="79"/>
      <x:c r="I15" s="79"/>
      <x:c r="J15" s="349" t="str">
        <x:f>SUBTOTAL(3,J16:J18)&amp;"건"</x:f>
        <x:v>0건</x:v>
      </x:c>
      <x:c r="K15" s="458">
        <x:f t="shared" ref="K15:Q15" si="42">SUBTOTAL(9,K16:K18)</x:f>
        <x:v>0</x:v>
      </x:c>
      <x:c r="L15" s="458">
        <x:f t="shared" si="42"/>
        <x:v>0</x:v>
      </x:c>
      <x:c r="M15" s="458">
        <x:f t="shared" si="42"/>
        <x:v>0</x:v>
      </x:c>
      <x:c r="N15" s="458">
        <x:f t="shared" si="42"/>
        <x:v>0</x:v>
      </x:c>
      <x:c r="O15" s="458">
        <x:f t="shared" si="42"/>
        <x:v>0</x:v>
      </x:c>
      <x:c r="P15" s="458">
        <x:f t="shared" si="42"/>
        <x:v>0</x:v>
      </x:c>
      <x:c r="Q15" s="458">
        <x:f t="shared" si="42"/>
        <x:v>0</x:v>
      </x:c>
      <x:c r="R15" s="78"/>
      <x:c r="S15" s="78"/>
      <x:c r="T15" s="78"/>
      <x:c r="U15" s="78"/>
      <x:c r="V15" s="78"/>
      <x:c r="W15" s="80"/>
      <x:c r="X15" s="80"/>
      <x:c r="Y15" s="43"/>
      <x:c r="Z15" s="458">
        <x:f>SUBTOTAL(9,Z16:Z18)</x:f>
        <x:v>0</x:v>
      </x:c>
      <x:c r="AA15" s="458">
        <x:f>SUBTOTAL(9,AA16:AA18)</x:f>
        <x:v>0</x:v>
      </x:c>
      <x:c r="AB15" s="556" t="str">
        <x:f>IF(COUNTIF(AB16:AB18,"@@")&gt;0,"@@","OK")</x:f>
        <x:v>OK</x:v>
      </x:c>
      <x:c r="AC15" s="44"/>
      <x:c r="AD15" s="458">
        <x:f>SUBTOTAL(9,AD16:AD18)</x:f>
        <x:v>0</x:v>
      </x:c>
      <x:c r="AE15" s="458">
        <x:f>SUBTOTAL(9,AE16:AE18)</x:f>
        <x:v>0</x:v>
      </x:c>
      <x:c r="AF15" s="556" t="str">
        <x:f>IF(COUNTIF(AF16:AF18,"@@")&gt;0,"@@","OK")</x:f>
        <x:v>OK</x:v>
      </x:c>
      <x:c r="AG15" s="44"/>
      <x:c r="AH15" s="171"/>
      <x:c r="AI15" s="171"/>
      <x:c r="AJ15" s="44"/>
      <x:c r="AK15" s="171"/>
      <x:c r="AL15" s="44"/>
      <x:c r="AM15" s="458">
        <x:f>SUBTOTAL(9,AM16:AM18)</x:f>
        <x:v>0</x:v>
      </x:c>
      <x:c r="AN15" s="458">
        <x:f>SUBTOTAL(9,AN16:AN18)</x:f>
        <x:v>0</x:v>
      </x:c>
      <x:c r="AO15" s="556" t="str">
        <x:f>IF(COUNTIF(AO16:AO18,"@@")&gt;0,"@@","OK")</x:f>
        <x:v>OK</x:v>
      </x:c>
      <x:c r="AP15" s="44"/>
      <x:c r="AQ15" s="458">
        <x:f>SUBTOTAL(9,AQ16:AQ18)</x:f>
        <x:v>0</x:v>
      </x:c>
      <x:c r="AR15" s="458">
        <x:f>SUBTOTAL(9,AR16:AR18)</x:f>
        <x:v>0</x:v>
      </x:c>
      <x:c r="AS15" s="556" t="str">
        <x:f>IF(COUNTIF(AS16:AS18,"@@")&gt;0,"@@","OK")</x:f>
        <x:v>OK</x:v>
      </x:c>
    </x:row>
    <x:row r="16" spans="1:45" s="20" customFormat="1" ht="80.099999999999994" customHeight="1">
      <x:c r="A16" s="155" t="str">
        <x:f>IF(D16="","",COUNTA($C$7:C16)-COUNTBLANK($C$7:C16)+3)</x:f>
        <x:v/>
      </x:c>
      <x:c r="B16" s="156" t="str">
        <x: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x:f>
        <x:v/>
      </x:c>
      <x:c r="C16" s="156" t="str">
        <x:f>IF(D16="","",IF(OR(D16="교육지원과",D16="총무과",D16="인사과"),"직접입력",VLOOKUP(D16,구분표!$A$3:$C$258,3,)))</x:f>
        <x:v/>
      </x:c>
      <x:c r="D16" s="226"/>
      <x:c r="E16" s="213"/>
      <x:c r="F16" s="388" t="str">
        <x:f>IF($E16="","",IF($E16="2추","직접입력","-"))</x:f>
        <x:v/>
      </x:c>
      <x:c r="G16" s="388" t="str">
        <x:f>IF($E16="","",IF($E16="2추","직접입력","-"))</x:f>
        <x:v/>
      </x:c>
      <x:c r="H16" s="214"/>
      <x:c r="I16" s="237" t="str">
        <x:f>IF(H16="","",VLOOKUP($H16,구분표!$O$3:$P$168,2,FALSE))</x:f>
        <x:v/>
      </x:c>
      <x:c r="J16" s="215"/>
      <x:c r="K16" s="459" t="str">
        <x:f>IF($E16="","",IF(OR($E16="2추",$E16="1추",$E16="본예산"),"금액입력","-"))</x:f>
        <x:v/>
      </x:c>
      <x:c r="L16" s="459" t="str">
        <x:f>IF($E16="","",IF($E16="2추","금액입력","-"))</x:f>
        <x:v/>
      </x:c>
      <x:c r="M16" s="461" t="str">
        <x:f t="shared" ref="M16:M18" si="43">IF($E16="","",SUM(K16:L16))</x:f>
        <x:v/>
      </x:c>
      <x:c r="N16" s="460"/>
      <x:c r="O16" s="461">
        <x:f t="shared" ref="O16:O18" si="44">SUM(M16:N16)</x:f>
        <x:v>0</x:v>
      </x:c>
      <x:c r="P16" s="462"/>
      <x:c r="Q16" s="463">
        <x:f t="shared" ref="Q16:Q18" si="45">SUM(M16,P16)</x:f>
        <x:v>0</x:v>
      </x:c>
      <x:c r="R16" s="162" t="str">
        <x:f t="shared" ref="R16:R18" si="46">IF(AND((O16=0),(Q16&gt;0)),"O",IF(AND((N16&lt;0),(O16-Q16&lt;0)),"O","X"))</x:f>
        <x:v>X</x:v>
      </x:c>
      <x:c r="S16" s="230"/>
      <x:c r="T16" s="225"/>
      <x:c r="U16" s="217"/>
      <x:c r="V16" s="203"/>
      <x:c r="W16" s="162" t="str">
        <x:f t="shared" ref="W16:W18" si="47">IF($H16="","",IF(OR($H16="511-01",$H16="511-02",$H16="511-03",$H16="311-02",$H16="311-04",$H16="321-01"),"국도비","도비"))</x:f>
        <x:v/>
      </x:c>
      <x:c r="X16" s="217"/>
      <x:c r="Y16" s="45"/>
      <x:c r="Z16" s="508" t="str">
        <x:f t="shared" ref="Z16:Z18" si="48">IF($W16="","",IF($W16="국도비",$N16,0))</x:f>
        <x:v/>
      </x:c>
      <x:c r="AA16" s="508" t="str">
        <x:f t="shared" ref="AA16:AA18" si="49">IF($W16="","",IF($W16="도비",$N16,0))</x:f>
        <x:v/>
      </x:c>
      <x:c r="AB16" s="374" t="str">
        <x:f t="shared" ref="AB16:AB18" si="50">IF($W16="","",IF($N16=SUM($Z16:$AA16),"OK","@@"))</x:f>
        <x:v/>
      </x:c>
      <x:c r="AC16" s="46"/>
      <x:c r="AD16" s="508" t="str">
        <x:f t="shared" ref="AD16:AD18" si="51">IF($W16="","",IF($W16="국도비",$P16,0))</x:f>
        <x:v/>
      </x:c>
      <x:c r="AE16" s="508" t="str">
        <x:f t="shared" ref="AE16:AE18" si="52">IF($W16="","",IF($W16="도비",$P16,0))</x:f>
        <x:v/>
      </x:c>
      <x:c r="AF16" s="374" t="str">
        <x:f t="shared" ref="AF16:AF18" si="53">IF($W16="","",IF($P16=SUM($AD16:$AE16),"OK","@@"))</x:f>
        <x:v/>
      </x:c>
      <x:c r="AG16" s="46"/>
      <x:c r="AH16" s="374" t="str">
        <x:f>IF(AK16="","",IF($W16="도비","-",CONCATENATE(AK16,"-",COUNTIF(AK$7:$AK16,AK16))))</x:f>
        <x:v/>
      </x:c>
      <x:c r="AI16" s="374" t="str">
        <x:f t="shared" ref="AI16:AI18" si="54">IF($H16="","",IF($H16="511-01","국비",IF($H16="511-02","균특",IF($H16="511-03","기금",IF($H16="311-02","특교",IF($H16="311-04","소교",IF($H16="321-01","소멸","도비")))))))</x:f>
        <x:v/>
      </x:c>
      <x:c r="AJ16" s="46"/>
      <x:c r="AK16" s="374" t="str">
        <x:f t="array" ref="AK16:AK16">IF(OR($D16="",$C16="직접입력",$B16="직접입력"),"",INDEX(구분표!$I$2:$I$337,MATCH(1,(구분표!$G$2:$G$337='5. 기입'!$B16)*(구분표!$E$2:$E$337='5. 기입'!$C16)*(구분표!$F$2:$F$337='5. 기입'!$D16),0)))</x:f>
        <x:v/>
      </x:c>
      <x:c r="AL16" s="47"/>
      <x:c r="AM16" s="472" t="str">
        <x:f>IF($AH16="","",IF($AH16="-",0,SUMIFS('5. 기출'!$AB$7:$AB$2012,'5. 기출'!$AJ$7:$AJ$2012,$AH16)))</x:f>
        <x:v/>
      </x:c>
      <x:c r="AN16" s="377" t="str">
        <x:f>IF($AH16="","",IF($AH16="-",0,COUNTIF('5. 기출'!$AJ$7:$AJ$2012,$AH16)))</x:f>
        <x:v/>
      </x:c>
      <x:c r="AO16" s="374" t="str">
        <x:f t="shared" ref="AO16:AO18" si="55">IF($AH16="","",IF($Z16=$AM16,"OK","@@"))</x:f>
        <x:v/>
      </x:c>
      <x:c r="AP16" s="47"/>
      <x:c r="AQ16" s="472" t="str">
        <x:f>IF($AH16="","",IF($AH16="-",0,SUMIFS('5. 기출'!$AF$7:$AF$2012,'5. 기출'!$AJ$7:$AJ$2012,$AH16)))</x:f>
        <x:v/>
      </x:c>
      <x:c r="AR16" s="377" t="str">
        <x:f>IF($AH16="","",IF($AH16="-",0,COUNTIF('5. 기출'!$AJ$7:$AJ$2012,$AH16)))</x:f>
        <x:v/>
      </x:c>
      <x:c r="AS16" s="374" t="str">
        <x:f t="shared" ref="AS16:AS18" si="56">IF($AH16="","",IF($AD16=$AQ16,"OK","@@"))</x:f>
        <x:v/>
      </x:c>
    </x:row>
    <x:row r="17" spans="1:45" s="20" customFormat="1" ht="80.099999999999994" customHeight="1">
      <x:c r="A17" s="155" t="str">
        <x:f>IF(D17="","",COUNTA($C$7:C17)-COUNTBLANK($C$7:C17)+3)</x:f>
        <x:v/>
      </x:c>
      <x:c r="B17" s="156" t="str">
        <x: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x:f>
        <x:v/>
      </x:c>
      <x:c r="C17" s="156" t="str">
        <x:f>IF(D17="","",IF(OR(D17="교육지원과",D17="총무과",D17="인사과"),"직접입력",VLOOKUP(D17,구분표!$A$3:$C$258,3,)))</x:f>
        <x:v/>
      </x:c>
      <x:c r="D17" s="226"/>
      <x:c r="E17" s="213"/>
      <x:c r="F17" s="388" t="str">
        <x:f t="shared" ref="F17:G18" si="57">IF($E17="","",IF($E17="2추","직접입력","-"))</x:f>
        <x:v/>
      </x:c>
      <x:c r="G17" s="388" t="str">
        <x:f t="shared" si="57"/>
        <x:v/>
      </x:c>
      <x:c r="H17" s="214"/>
      <x:c r="I17" s="237" t="str">
        <x:f>IF(H17="","",VLOOKUP($H17,구분표!$O$3:$P$168,2,FALSE))</x:f>
        <x:v/>
      </x:c>
      <x:c r="J17" s="215"/>
      <x:c r="K17" s="459" t="str">
        <x:f t="shared" ref="K17:K18" si="58">IF($E17="","",IF(OR($E17="2추",$E17="1추",$E17="본예산"),"금액입력","-"))</x:f>
        <x:v/>
      </x:c>
      <x:c r="L17" s="459" t="str">
        <x:f t="shared" ref="L17:L18" si="59">IF($E17="","",IF($E17="2추","금액입력","-"))</x:f>
        <x:v/>
      </x:c>
      <x:c r="M17" s="461" t="str">
        <x:f t="shared" si="43"/>
        <x:v/>
      </x:c>
      <x:c r="N17" s="460"/>
      <x:c r="O17" s="461">
        <x:f t="shared" si="44"/>
        <x:v>0</x:v>
      </x:c>
      <x:c r="P17" s="462"/>
      <x:c r="Q17" s="463">
        <x:f t="shared" si="45"/>
        <x:v>0</x:v>
      </x:c>
      <x:c r="R17" s="162" t="str">
        <x:f t="shared" si="46"/>
        <x:v>X</x:v>
      </x:c>
      <x:c r="S17" s="230"/>
      <x:c r="T17" s="225"/>
      <x:c r="U17" s="217"/>
      <x:c r="V17" s="203"/>
      <x:c r="W17" s="162" t="str">
        <x:f t="shared" si="47"/>
        <x:v/>
      </x:c>
      <x:c r="X17" s="217"/>
      <x:c r="Y17" s="45"/>
      <x:c r="Z17" s="508" t="str">
        <x:f t="shared" si="48"/>
        <x:v/>
      </x:c>
      <x:c r="AA17" s="508" t="str">
        <x:f t="shared" si="49"/>
        <x:v/>
      </x:c>
      <x:c r="AB17" s="374" t="str">
        <x:f t="shared" si="50"/>
        <x:v/>
      </x:c>
      <x:c r="AC17" s="46"/>
      <x:c r="AD17" s="508" t="str">
        <x:f t="shared" si="51"/>
        <x:v/>
      </x:c>
      <x:c r="AE17" s="508" t="str">
        <x:f t="shared" si="52"/>
        <x:v/>
      </x:c>
      <x:c r="AF17" s="374" t="str">
        <x:f t="shared" si="53"/>
        <x:v/>
      </x:c>
      <x:c r="AG17" s="46"/>
      <x:c r="AH17" s="374" t="str">
        <x:f>IF(AK17="","",IF($W17="도비","-",CONCATENATE(AK17,"-",COUNTIF(AK$7:$AK17,AK17))))</x:f>
        <x:v/>
      </x:c>
      <x:c r="AI17" s="374" t="str">
        <x:f t="shared" si="54"/>
        <x:v/>
      </x:c>
      <x:c r="AJ17" s="46"/>
      <x:c r="AK17" s="374" t="str">
        <x:f t="array" ref="AK17:AK17">IF(OR($D17="",$C17="직접입력",$B17="직접입력"),"",INDEX(구분표!$I$2:$I$337,MATCH(1,(구분표!$G$2:$G$337='5. 기입'!$B17)*(구분표!$E$2:$E$337='5. 기입'!$C17)*(구분표!$F$2:$F$337='5. 기입'!$D17),0)))</x:f>
        <x:v/>
      </x:c>
      <x:c r="AL17" s="47"/>
      <x:c r="AM17" s="472" t="str">
        <x:f>IF($AH17="","",IF($AH17="-",0,SUMIFS('5. 기출'!$AB$7:$AB$2012,'5. 기출'!$AJ$7:$AJ$2012,$AH17)))</x:f>
        <x:v/>
      </x:c>
      <x:c r="AN17" s="377" t="str">
        <x:f>IF($AH17="","",IF($AH17="-",0,COUNTIF('5. 기출'!$AJ$7:$AJ$2012,$AH17)))</x:f>
        <x:v/>
      </x:c>
      <x:c r="AO17" s="374" t="str">
        <x:f t="shared" si="55"/>
        <x:v/>
      </x:c>
      <x:c r="AP17" s="47"/>
      <x:c r="AQ17" s="472" t="str">
        <x:f>IF($AH17="","",IF($AH17="-",0,SUMIFS('5. 기출'!$AF$7:$AF$2012,'5. 기출'!$AJ$7:$AJ$2012,$AH17)))</x:f>
        <x:v/>
      </x:c>
      <x:c r="AR17" s="377" t="str">
        <x:f>IF($AH17="","",IF($AH17="-",0,COUNTIF('5. 기출'!$AJ$7:$AJ$2012,$AH17)))</x:f>
        <x:v/>
      </x:c>
      <x:c r="AS17" s="374" t="str">
        <x:f t="shared" si="56"/>
        <x:v/>
      </x:c>
    </x:row>
    <x:row r="18" spans="1:45" s="20" customFormat="1" ht="80.099999999999994" customHeight="1">
      <x:c r="A18" s="155" t="str">
        <x:f>IF(D18="","",COUNTA($C$7:C18)-COUNTBLANK($C$7:C18)+3)</x:f>
        <x:v/>
      </x:c>
      <x:c r="B18" s="156" t="str">
        <x: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x:f>
        <x:v/>
      </x:c>
      <x:c r="C18" s="156" t="str">
        <x:f>IF(D18="","",IF(OR(D18="교육지원과",D18="총무과",D18="인사과"),"직접입력",VLOOKUP(D18,구분표!$A$3:$C$258,3,)))</x:f>
        <x:v/>
      </x:c>
      <x:c r="D18" s="226"/>
      <x:c r="E18" s="213"/>
      <x:c r="F18" s="388" t="str">
        <x:f t="shared" si="57"/>
        <x:v/>
      </x:c>
      <x:c r="G18" s="388" t="str">
        <x:f t="shared" si="57"/>
        <x:v/>
      </x:c>
      <x:c r="H18" s="214"/>
      <x:c r="I18" s="237" t="str">
        <x:f>IF(H18="","",VLOOKUP($H18,구분표!$O$3:$P$168,2,FALSE))</x:f>
        <x:v/>
      </x:c>
      <x:c r="J18" s="215"/>
      <x:c r="K18" s="459" t="str">
        <x:f t="shared" si="58"/>
        <x:v/>
      </x:c>
      <x:c r="L18" s="459" t="str">
        <x:f t="shared" si="59"/>
        <x:v/>
      </x:c>
      <x:c r="M18" s="461" t="str">
        <x:f t="shared" si="43"/>
        <x:v/>
      </x:c>
      <x:c r="N18" s="460"/>
      <x:c r="O18" s="461">
        <x:f t="shared" si="44"/>
        <x:v>0</x:v>
      </x:c>
      <x:c r="P18" s="462"/>
      <x:c r="Q18" s="463">
        <x:f t="shared" si="45"/>
        <x:v>0</x:v>
      </x:c>
      <x:c r="R18" s="162" t="str">
        <x:f t="shared" si="46"/>
        <x:v>X</x:v>
      </x:c>
      <x:c r="S18" s="230"/>
      <x:c r="T18" s="225"/>
      <x:c r="U18" s="217"/>
      <x:c r="V18" s="203"/>
      <x:c r="W18" s="162" t="str">
        <x:f t="shared" si="47"/>
        <x:v/>
      </x:c>
      <x:c r="X18" s="217"/>
      <x:c r="Y18" s="45"/>
      <x:c r="Z18" s="508" t="str">
        <x:f t="shared" si="48"/>
        <x:v/>
      </x:c>
      <x:c r="AA18" s="508" t="str">
        <x:f t="shared" si="49"/>
        <x:v/>
      </x:c>
      <x:c r="AB18" s="374" t="str">
        <x:f t="shared" si="50"/>
        <x:v/>
      </x:c>
      <x:c r="AC18" s="46"/>
      <x:c r="AD18" s="508" t="str">
        <x:f t="shared" si="51"/>
        <x:v/>
      </x:c>
      <x:c r="AE18" s="508" t="str">
        <x:f t="shared" si="52"/>
        <x:v/>
      </x:c>
      <x:c r="AF18" s="374" t="str">
        <x:f t="shared" si="53"/>
        <x:v/>
      </x:c>
      <x:c r="AG18" s="46"/>
      <x:c r="AH18" s="374" t="str">
        <x:f>IF(AK18="","",IF($W18="도비","-",CONCATENATE(AK18,"-",COUNTIF(AK$7:$AK18,AK18))))</x:f>
        <x:v/>
      </x:c>
      <x:c r="AI18" s="374" t="str">
        <x:f t="shared" si="54"/>
        <x:v/>
      </x:c>
      <x:c r="AJ18" s="46"/>
      <x:c r="AK18" s="374" t="str">
        <x:f t="array" ref="AK18:AK18">IF(OR($D18="",$C18="직접입력",$B18="직접입력"),"",INDEX(구분표!$I$2:$I$337,MATCH(1,(구분표!$G$2:$G$337='5. 기입'!$B18)*(구분표!$E$2:$E$337='5. 기입'!$C18)*(구분표!$F$2:$F$337='5. 기입'!$D18),0)))</x:f>
        <x:v/>
      </x:c>
      <x:c r="AL18" s="47"/>
      <x:c r="AM18" s="472" t="str">
        <x:f>IF($AH18="","",IF($AH18="-",0,SUMIFS('5. 기출'!$AB$7:$AB$2012,'5. 기출'!$AJ$7:$AJ$2012,$AH18)))</x:f>
        <x:v/>
      </x:c>
      <x:c r="AN18" s="377" t="str">
        <x:f>IF($AH18="","",IF($AH18="-",0,COUNTIF('5. 기출'!$AJ$7:$AJ$2012,$AH18)))</x:f>
        <x:v/>
      </x:c>
      <x:c r="AO18" s="374" t="str">
        <x:f t="shared" si="55"/>
        <x:v/>
      </x:c>
      <x:c r="AP18" s="47"/>
      <x:c r="AQ18" s="472" t="str">
        <x:f>IF($AH18="","",IF($AH18="-",0,SUMIFS('5. 기출'!$AF$7:$AF$2012,'5. 기출'!$AJ$7:$AJ$2012,$AH18)))</x:f>
        <x:v/>
      </x:c>
      <x:c r="AR18" s="377" t="str">
        <x:f>IF($AH18="","",IF($AH18="-",0,COUNTIF('5. 기출'!$AJ$7:$AJ$2012,$AH18)))</x:f>
        <x:v/>
      </x:c>
      <x:c r="AS18" s="374" t="str">
        <x:f t="shared" si="56"/>
        <x:v/>
      </x:c>
    </x:row>
    <x:row r="19" spans="1:45" ht="60" customHeight="1">
      <x:c r="A19" s="171"/>
      <x:c r="B19" s="888" t="s">
        <x:v>1497</x:v>
      </x:c>
      <x:c r="C19" s="888"/>
      <x:c r="D19" s="888"/>
      <x:c r="E19" s="888"/>
      <x:c r="F19" s="888"/>
      <x:c r="G19" s="888"/>
      <x:c r="H19" s="79"/>
      <x:c r="I19" s="79"/>
      <x:c r="J19" s="349" t="str">
        <x:f>SUBTOTAL(3,J20:J22)&amp;"건"</x:f>
        <x:v>0건</x:v>
      </x:c>
      <x:c r="K19" s="458">
        <x:f t="shared" ref="K19:Q19" si="60">SUBTOTAL(9,K20:K22)</x:f>
        <x:v>0</x:v>
      </x:c>
      <x:c r="L19" s="458">
        <x:f t="shared" si="60"/>
        <x:v>0</x:v>
      </x:c>
      <x:c r="M19" s="458">
        <x:f t="shared" si="60"/>
        <x:v>0</x:v>
      </x:c>
      <x:c r="N19" s="458">
        <x:f t="shared" si="60"/>
        <x:v>0</x:v>
      </x:c>
      <x:c r="O19" s="458">
        <x:f t="shared" si="60"/>
        <x:v>0</x:v>
      </x:c>
      <x:c r="P19" s="458">
        <x:f t="shared" si="60"/>
        <x:v>0</x:v>
      </x:c>
      <x:c r="Q19" s="458">
        <x:f t="shared" si="60"/>
        <x:v>0</x:v>
      </x:c>
      <x:c r="R19" s="78"/>
      <x:c r="S19" s="78"/>
      <x:c r="T19" s="78"/>
      <x:c r="U19" s="78"/>
      <x:c r="V19" s="78"/>
      <x:c r="W19" s="80"/>
      <x:c r="X19" s="80"/>
      <x:c r="Y19" s="43"/>
      <x:c r="Z19" s="458">
        <x:f>SUBTOTAL(9,Z20:Z22)</x:f>
        <x:v>0</x:v>
      </x:c>
      <x:c r="AA19" s="458">
        <x:f>SUBTOTAL(9,AA20:AA22)</x:f>
        <x:v>0</x:v>
      </x:c>
      <x:c r="AB19" s="556" t="str">
        <x:f>IF(COUNTIF(AB20:AB22,"@@")&gt;0,"@@","OK")</x:f>
        <x:v>OK</x:v>
      </x:c>
      <x:c r="AC19" s="44"/>
      <x:c r="AD19" s="458">
        <x:f>SUBTOTAL(9,AD20:AD22)</x:f>
        <x:v>0</x:v>
      </x:c>
      <x:c r="AE19" s="458">
        <x:f>SUBTOTAL(9,AE20:AE22)</x:f>
        <x:v>0</x:v>
      </x:c>
      <x:c r="AF19" s="556" t="str">
        <x:f>IF(COUNTIF(AF20:AF22,"@@")&gt;0,"@@","OK")</x:f>
        <x:v>OK</x:v>
      </x:c>
      <x:c r="AG19" s="44"/>
      <x:c r="AH19" s="171"/>
      <x:c r="AI19" s="171"/>
      <x:c r="AJ19" s="44"/>
      <x:c r="AK19" s="171"/>
      <x:c r="AL19" s="44"/>
      <x:c r="AM19" s="458">
        <x:f>SUBTOTAL(9,AM20:AM22)</x:f>
        <x:v>0</x:v>
      </x:c>
      <x:c r="AN19" s="458">
        <x:f>SUBTOTAL(9,AN20:AN22)</x:f>
        <x:v>0</x:v>
      </x:c>
      <x:c r="AO19" s="556" t="str">
        <x:f>IF(COUNTIF(AO20:AO22,"@@")&gt;0,"@@","OK")</x:f>
        <x:v>OK</x:v>
      </x:c>
      <x:c r="AP19" s="44"/>
      <x:c r="AQ19" s="458">
        <x:f>SUBTOTAL(9,AQ20:AQ22)</x:f>
        <x:v>0</x:v>
      </x:c>
      <x:c r="AR19" s="458">
        <x:f>SUBTOTAL(9,AR20:AR22)</x:f>
        <x:v>0</x:v>
      </x:c>
      <x:c r="AS19" s="556" t="str">
        <x:f>IF(COUNTIF(AS20:AS22,"@@")&gt;0,"@@","OK")</x:f>
        <x:v>OK</x:v>
      </x:c>
    </x:row>
    <x:row r="20" spans="1:45" s="20" customFormat="1" ht="80.099999999999994" customHeight="1">
      <x:c r="A20" s="155" t="str">
        <x:f>IF(D20="","",COUNTA($C$7:C20)-COUNTBLANK($C$7:C20)+4)</x:f>
        <x:v/>
      </x:c>
      <x:c r="B20" s="156" t="str">
        <x: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x:f>
        <x:v/>
      </x:c>
      <x:c r="C20" s="156" t="str">
        <x:f>IF(D20="","",IF(OR(D20="교육지원과",D20="총무과",D20="인사과"),"직접입력",VLOOKUP(D20,구분표!$A$3:$C$258,3,)))</x:f>
        <x:v/>
      </x:c>
      <x:c r="D20" s="226"/>
      <x:c r="E20" s="213"/>
      <x:c r="F20" s="388" t="str">
        <x:f>IF($E20="","",IF($E20="2추","직접입력","-"))</x:f>
        <x:v/>
      </x:c>
      <x:c r="G20" s="388" t="str">
        <x:f>IF($E20="","",IF($E20="2추","직접입력","-"))</x:f>
        <x:v/>
      </x:c>
      <x:c r="H20" s="214"/>
      <x:c r="I20" s="237" t="str">
        <x:f>IF(H20="","",VLOOKUP($H20,구분표!$O$3:$P$168,2,FALSE))</x:f>
        <x:v/>
      </x:c>
      <x:c r="J20" s="215"/>
      <x:c r="K20" s="459" t="str">
        <x:f>IF($E20="","",IF(OR($E20="2추",$E20="1추",$E20="본예산"),"금액입력","-"))</x:f>
        <x:v/>
      </x:c>
      <x:c r="L20" s="459" t="str">
        <x:f>IF($E20="","",IF($E20="2추","금액입력","-"))</x:f>
        <x:v/>
      </x:c>
      <x:c r="M20" s="461" t="str">
        <x:f t="shared" ref="M20:M22" si="61">IF($E20="","",SUM(K20:L20))</x:f>
        <x:v/>
      </x:c>
      <x:c r="N20" s="460"/>
      <x:c r="O20" s="461">
        <x:f t="shared" ref="O20:O22" si="62">SUM(M20:N20)</x:f>
        <x:v>0</x:v>
      </x:c>
      <x:c r="P20" s="462"/>
      <x:c r="Q20" s="463">
        <x:f t="shared" ref="Q20:Q22" si="63">SUM(M20,P20)</x:f>
        <x:v>0</x:v>
      </x:c>
      <x:c r="R20" s="162" t="str">
        <x:f t="shared" ref="R20:R22" si="64">IF(AND((O20=0),(Q20&gt;0)),"O",IF(AND((N20&lt;0),(O20-Q20&lt;0)),"O","X"))</x:f>
        <x:v>X</x:v>
      </x:c>
      <x:c r="S20" s="230"/>
      <x:c r="T20" s="225"/>
      <x:c r="U20" s="217"/>
      <x:c r="V20" s="203"/>
      <x:c r="W20" s="162" t="str">
        <x:f t="shared" ref="W20:W22" si="65">IF($H20="","",IF(OR($H20="511-01",$H20="511-02",$H20="511-03",$H20="311-02",$H20="311-04",$H20="321-01"),"국도비","도비"))</x:f>
        <x:v/>
      </x:c>
      <x:c r="X20" s="217"/>
      <x:c r="Y20" s="45"/>
      <x:c r="Z20" s="508" t="str">
        <x:f t="shared" ref="Z20:Z22" si="66">IF($W20="","",IF($W20="국도비",$N20,0))</x:f>
        <x:v/>
      </x:c>
      <x:c r="AA20" s="508" t="str">
        <x:f t="shared" ref="AA20:AA22" si="67">IF($W20="","",IF($W20="도비",$N20,0))</x:f>
        <x:v/>
      </x:c>
      <x:c r="AB20" s="374" t="str">
        <x:f t="shared" ref="AB20:AB22" si="68">IF($W20="","",IF($N20=SUM($Z20:$AA20),"OK","@@"))</x:f>
        <x:v/>
      </x:c>
      <x:c r="AC20" s="46"/>
      <x:c r="AD20" s="508" t="str">
        <x:f t="shared" ref="AD20:AD22" si="69">IF($W20="","",IF($W20="국도비",$P20,0))</x:f>
        <x:v/>
      </x:c>
      <x:c r="AE20" s="508" t="str">
        <x:f t="shared" ref="AE20:AE22" si="70">IF($W20="","",IF($W20="도비",$P20,0))</x:f>
        <x:v/>
      </x:c>
      <x:c r="AF20" s="374" t="str">
        <x:f t="shared" ref="AF20:AF22" si="71">IF($W20="","",IF($P20=SUM($AD20:$AE20),"OK","@@"))</x:f>
        <x:v/>
      </x:c>
      <x:c r="AG20" s="46"/>
      <x:c r="AH20" s="374" t="str">
        <x:f>IF(AK20="","",IF($W20="도비","-",CONCATENATE(AK20,"-",COUNTIF(AK$7:$AK20,AK20))))</x:f>
        <x:v/>
      </x:c>
      <x:c r="AI20" s="374" t="str">
        <x:f t="shared" ref="AI20:AI22" si="72">IF($H20="","",IF($H20="511-01","국비",IF($H20="511-02","균특",IF($H20="511-03","기금",IF($H20="311-02","특교",IF($H20="311-04","소교",IF($H20="321-01","소멸","도비")))))))</x:f>
        <x:v/>
      </x:c>
      <x:c r="AJ20" s="46"/>
      <x:c r="AK20" s="374" t="str">
        <x:f t="array" ref="AK20:AK20">IF(OR($D20="",$C20="직접입력",$B20="직접입력"),"",INDEX(구분표!$I$2:$I$337,MATCH(1,(구분표!$G$2:$G$337='5. 기입'!$B20)*(구분표!$E$2:$E$337='5. 기입'!$C20)*(구분표!$F$2:$F$337='5. 기입'!$D20),0)))</x:f>
        <x:v/>
      </x:c>
      <x:c r="AL20" s="47"/>
      <x:c r="AM20" s="472" t="str">
        <x:f>IF($AH20="","",IF($AH20="-",0,SUMIFS('5. 기출'!$AB$7:$AB$2012,'5. 기출'!$AJ$7:$AJ$2012,$AH20)))</x:f>
        <x:v/>
      </x:c>
      <x:c r="AN20" s="377" t="str">
        <x:f>IF($AH20="","",IF($AH20="-",0,COUNTIF('5. 기출'!$AJ$7:$AJ$2012,$AH20)))</x:f>
        <x:v/>
      </x:c>
      <x:c r="AO20" s="374" t="str">
        <x:f t="shared" ref="AO20:AO22" si="73">IF($AH20="","",IF($Z20=$AM20,"OK","@@"))</x:f>
        <x:v/>
      </x:c>
      <x:c r="AP20" s="47"/>
      <x:c r="AQ20" s="472" t="str">
        <x:f>IF($AH20="","",IF($AH20="-",0,SUMIFS('5. 기출'!$AF$7:$AF$2012,'5. 기출'!$AJ$7:$AJ$2012,$AH20)))</x:f>
        <x:v/>
      </x:c>
      <x:c r="AR20" s="377" t="str">
        <x:f>IF($AH20="","",IF($AH20="-",0,COUNTIF('5. 기출'!$AJ$7:$AJ$2012,$AH20)))</x:f>
        <x:v/>
      </x:c>
      <x:c r="AS20" s="374" t="str">
        <x:f t="shared" ref="AS20:AS22" si="74">IF($AH20="","",IF($AD20=$AQ20,"OK","@@"))</x:f>
        <x:v/>
      </x:c>
    </x:row>
    <x:row r="21" spans="1:45" s="20" customFormat="1" ht="80.099999999999994" customHeight="1">
      <x:c r="A21" s="155" t="str">
        <x:f>IF(D21="","",COUNTA($C$7:C21)-COUNTBLANK($C$7:C21)+4)</x:f>
        <x:v/>
      </x:c>
      <x:c r="B21" s="156" t="str">
        <x: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x:f>
        <x:v/>
      </x:c>
      <x:c r="C21" s="156" t="str">
        <x:f>IF(D21="","",IF(OR(D21="교육지원과",D21="총무과",D21="인사과"),"직접입력",VLOOKUP(D21,구분표!$A$3:$C$258,3,)))</x:f>
        <x:v/>
      </x:c>
      <x:c r="D21" s="226"/>
      <x:c r="E21" s="213"/>
      <x:c r="F21" s="388" t="str">
        <x:f t="shared" ref="F21:G22" si="75">IF($E21="","",IF($E21="2추","직접입력","-"))</x:f>
        <x:v/>
      </x:c>
      <x:c r="G21" s="388" t="str">
        <x:f t="shared" si="75"/>
        <x:v/>
      </x:c>
      <x:c r="H21" s="214"/>
      <x:c r="I21" s="237" t="str">
        <x:f>IF(H21="","",VLOOKUP($H21,구분표!$O$3:$P$168,2,FALSE))</x:f>
        <x:v/>
      </x:c>
      <x:c r="J21" s="215"/>
      <x:c r="K21" s="459" t="str">
        <x:f t="shared" ref="K21:K22" si="76">IF($E21="","",IF(OR($E21="2추",$E21="1추",$E21="본예산"),"금액입력","-"))</x:f>
        <x:v/>
      </x:c>
      <x:c r="L21" s="459" t="str">
        <x:f t="shared" ref="L21:L22" si="77">IF($E21="","",IF($E21="2추","금액입력","-"))</x:f>
        <x:v/>
      </x:c>
      <x:c r="M21" s="461" t="str">
        <x:f t="shared" si="61"/>
        <x:v/>
      </x:c>
      <x:c r="N21" s="460"/>
      <x:c r="O21" s="461">
        <x:f t="shared" si="62"/>
        <x:v>0</x:v>
      </x:c>
      <x:c r="P21" s="462"/>
      <x:c r="Q21" s="463">
        <x:f t="shared" si="63"/>
        <x:v>0</x:v>
      </x:c>
      <x:c r="R21" s="162" t="str">
        <x:f t="shared" si="64"/>
        <x:v>X</x:v>
      </x:c>
      <x:c r="S21" s="230"/>
      <x:c r="T21" s="225"/>
      <x:c r="U21" s="217"/>
      <x:c r="V21" s="203"/>
      <x:c r="W21" s="162" t="str">
        <x:f t="shared" si="65"/>
        <x:v/>
      </x:c>
      <x:c r="X21" s="217"/>
      <x:c r="Y21" s="45"/>
      <x:c r="Z21" s="508" t="str">
        <x:f t="shared" si="66"/>
        <x:v/>
      </x:c>
      <x:c r="AA21" s="508" t="str">
        <x:f t="shared" si="67"/>
        <x:v/>
      </x:c>
      <x:c r="AB21" s="374" t="str">
        <x:f t="shared" si="68"/>
        <x:v/>
      </x:c>
      <x:c r="AC21" s="46"/>
      <x:c r="AD21" s="508" t="str">
        <x:f t="shared" si="69"/>
        <x:v/>
      </x:c>
      <x:c r="AE21" s="508" t="str">
        <x:f t="shared" si="70"/>
        <x:v/>
      </x:c>
      <x:c r="AF21" s="374" t="str">
        <x:f t="shared" si="71"/>
        <x:v/>
      </x:c>
      <x:c r="AG21" s="46"/>
      <x:c r="AH21" s="374" t="str">
        <x:f>IF(AK21="","",IF($W21="도비","-",CONCATENATE(AK21,"-",COUNTIF(AK$7:$AK21,AK21))))</x:f>
        <x:v/>
      </x:c>
      <x:c r="AI21" s="374" t="str">
        <x:f t="shared" si="72"/>
        <x:v/>
      </x:c>
      <x:c r="AJ21" s="46"/>
      <x:c r="AK21" s="374" t="str">
        <x:f t="array" ref="AK21:AK21">IF(OR($D21="",$C21="직접입력",$B21="직접입력"),"",INDEX(구분표!$I$2:$I$337,MATCH(1,(구분표!$G$2:$G$337='5. 기입'!$B21)*(구분표!$E$2:$E$337='5. 기입'!$C21)*(구분표!$F$2:$F$337='5. 기입'!$D21),0)))</x:f>
        <x:v/>
      </x:c>
      <x:c r="AL21" s="47"/>
      <x:c r="AM21" s="472" t="str">
        <x:f>IF($AH21="","",IF($AH21="-",0,SUMIFS('5. 기출'!$AB$7:$AB$2012,'5. 기출'!$AJ$7:$AJ$2012,$AH21)))</x:f>
        <x:v/>
      </x:c>
      <x:c r="AN21" s="377" t="str">
        <x:f>IF($AH21="","",IF($AH21="-",0,COUNTIF('5. 기출'!$AJ$7:$AJ$2012,$AH21)))</x:f>
        <x:v/>
      </x:c>
      <x:c r="AO21" s="374" t="str">
        <x:f t="shared" si="73"/>
        <x:v/>
      </x:c>
      <x:c r="AP21" s="47"/>
      <x:c r="AQ21" s="472" t="str">
        <x:f>IF($AH21="","",IF($AH21="-",0,SUMIFS('5. 기출'!$AF$7:$AF$2012,'5. 기출'!$AJ$7:$AJ$2012,$AH21)))</x:f>
        <x:v/>
      </x:c>
      <x:c r="AR21" s="377" t="str">
        <x:f>IF($AH21="","",IF($AH21="-",0,COUNTIF('5. 기출'!$AJ$7:$AJ$2012,$AH21)))</x:f>
        <x:v/>
      </x:c>
      <x:c r="AS21" s="374" t="str">
        <x:f t="shared" si="74"/>
        <x:v/>
      </x:c>
    </x:row>
    <x:row r="22" spans="1:45" s="20" customFormat="1" ht="80.099999999999994" customHeight="1">
      <x:c r="A22" s="155" t="str">
        <x:f>IF(D22="","",COUNTA($C$7:C22)-COUNTBLANK($C$7:C22)+4)</x:f>
        <x:v/>
      </x:c>
      <x:c r="B22" s="156" t="str">
        <x: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x:f>
        <x:v/>
      </x:c>
      <x:c r="C22" s="156" t="str">
        <x:f>IF(D22="","",IF(OR(D22="교육지원과",D22="총무과",D22="인사과"),"직접입력",VLOOKUP(D22,구분표!$A$3:$C$258,3,)))</x:f>
        <x:v/>
      </x:c>
      <x:c r="D22" s="226"/>
      <x:c r="E22" s="213"/>
      <x:c r="F22" s="388" t="str">
        <x:f t="shared" si="75"/>
        <x:v/>
      </x:c>
      <x:c r="G22" s="388" t="str">
        <x:f t="shared" si="75"/>
        <x:v/>
      </x:c>
      <x:c r="H22" s="214"/>
      <x:c r="I22" s="237" t="str">
        <x:f>IF(H22="","",VLOOKUP($H22,구분표!$O$3:$P$168,2,FALSE))</x:f>
        <x:v/>
      </x:c>
      <x:c r="J22" s="215"/>
      <x:c r="K22" s="459" t="str">
        <x:f t="shared" si="76"/>
        <x:v/>
      </x:c>
      <x:c r="L22" s="459" t="str">
        <x:f t="shared" si="77"/>
        <x:v/>
      </x:c>
      <x:c r="M22" s="461" t="str">
        <x:f t="shared" si="61"/>
        <x:v/>
      </x:c>
      <x:c r="N22" s="460"/>
      <x:c r="O22" s="461">
        <x:f t="shared" si="62"/>
        <x:v>0</x:v>
      </x:c>
      <x:c r="P22" s="462"/>
      <x:c r="Q22" s="463">
        <x:f t="shared" si="63"/>
        <x:v>0</x:v>
      </x:c>
      <x:c r="R22" s="162" t="str">
        <x:f t="shared" si="64"/>
        <x:v>X</x:v>
      </x:c>
      <x:c r="S22" s="230"/>
      <x:c r="T22" s="225"/>
      <x:c r="U22" s="217"/>
      <x:c r="V22" s="203"/>
      <x:c r="W22" s="162" t="str">
        <x:f t="shared" si="65"/>
        <x:v/>
      </x:c>
      <x:c r="X22" s="217"/>
      <x:c r="Y22" s="45"/>
      <x:c r="Z22" s="508" t="str">
        <x:f t="shared" si="66"/>
        <x:v/>
      </x:c>
      <x:c r="AA22" s="508" t="str">
        <x:f t="shared" si="67"/>
        <x:v/>
      </x:c>
      <x:c r="AB22" s="374" t="str">
        <x:f t="shared" si="68"/>
        <x:v/>
      </x:c>
      <x:c r="AC22" s="46"/>
      <x:c r="AD22" s="508" t="str">
        <x:f t="shared" si="69"/>
        <x:v/>
      </x:c>
      <x:c r="AE22" s="508" t="str">
        <x:f t="shared" si="70"/>
        <x:v/>
      </x:c>
      <x:c r="AF22" s="374" t="str">
        <x:f t="shared" si="71"/>
        <x:v/>
      </x:c>
      <x:c r="AG22" s="46"/>
      <x:c r="AH22" s="374" t="str">
        <x:f>IF(AK22="","",IF($W22="도비","-",CONCATENATE(AK22,"-",COUNTIF(AK$7:$AK22,AK22))))</x:f>
        <x:v/>
      </x:c>
      <x:c r="AI22" s="374" t="str">
        <x:f t="shared" si="72"/>
        <x:v/>
      </x:c>
      <x:c r="AJ22" s="46"/>
      <x:c r="AK22" s="374" t="str">
        <x:f t="array" ref="AK22:AK22">IF(OR($D22="",$C22="직접입력",$B22="직접입력"),"",INDEX(구분표!$I$2:$I$337,MATCH(1,(구분표!$G$2:$G$337='5. 기입'!$B22)*(구분표!$E$2:$E$337='5. 기입'!$C22)*(구분표!$F$2:$F$337='5. 기입'!$D22),0)))</x:f>
        <x:v/>
      </x:c>
      <x:c r="AL22" s="47"/>
      <x:c r="AM22" s="472" t="str">
        <x:f>IF($AH22="","",IF($AH22="-",0,SUMIFS('5. 기출'!$AB$7:$AB$2012,'5. 기출'!$AJ$7:$AJ$2012,$AH22)))</x:f>
        <x:v/>
      </x:c>
      <x:c r="AN22" s="377" t="str">
        <x:f>IF($AH22="","",IF($AH22="-",0,COUNTIF('5. 기출'!$AJ$7:$AJ$2012,$AH22)))</x:f>
        <x:v/>
      </x:c>
      <x:c r="AO22" s="374" t="str">
        <x:f t="shared" si="73"/>
        <x:v/>
      </x:c>
      <x:c r="AP22" s="47"/>
      <x:c r="AQ22" s="472" t="str">
        <x:f>IF($AH22="","",IF($AH22="-",0,SUMIFS('5. 기출'!$AF$7:$AF$2012,'5. 기출'!$AJ$7:$AJ$2012,$AH22)))</x:f>
        <x:v/>
      </x:c>
      <x:c r="AR22" s="377" t="str">
        <x:f>IF($AH22="","",IF($AH22="-",0,COUNTIF('5. 기출'!$AJ$7:$AJ$2012,$AH22)))</x:f>
        <x:v/>
      </x:c>
      <x:c r="AS22" s="374" t="str">
        <x:f t="shared" si="74"/>
        <x:v/>
      </x:c>
    </x:row>
    <x:row r="23" spans="1:45" ht="60" customHeight="1">
      <x:c r="A23" s="171"/>
      <x:c r="B23" s="888" t="s">
        <x:v>880</x:v>
      </x:c>
      <x:c r="C23" s="888"/>
      <x:c r="D23" s="888"/>
      <x:c r="E23" s="888"/>
      <x:c r="F23" s="888"/>
      <x:c r="G23" s="888"/>
      <x:c r="H23" s="79"/>
      <x:c r="I23" s="79"/>
      <x:c r="J23" s="349" t="str">
        <x:f>SUBTOTAL(3,J24:J26)&amp;"건"</x:f>
        <x:v>0건</x:v>
      </x:c>
      <x:c r="K23" s="458">
        <x:f t="shared" ref="K23:Q23" si="78">SUBTOTAL(9,K24:K26)</x:f>
        <x:v>0</x:v>
      </x:c>
      <x:c r="L23" s="458">
        <x:f t="shared" si="78"/>
        <x:v>0</x:v>
      </x:c>
      <x:c r="M23" s="458">
        <x:f t="shared" si="78"/>
        <x:v>0</x:v>
      </x:c>
      <x:c r="N23" s="458">
        <x:f t="shared" si="78"/>
        <x:v>0</x:v>
      </x:c>
      <x:c r="O23" s="458">
        <x:f t="shared" si="78"/>
        <x:v>0</x:v>
      </x:c>
      <x:c r="P23" s="458">
        <x:f t="shared" si="78"/>
        <x:v>0</x:v>
      </x:c>
      <x:c r="Q23" s="458">
        <x:f t="shared" si="78"/>
        <x:v>0</x:v>
      </x:c>
      <x:c r="R23" s="78"/>
      <x:c r="S23" s="78"/>
      <x:c r="T23" s="78"/>
      <x:c r="U23" s="78"/>
      <x:c r="V23" s="78"/>
      <x:c r="W23" s="80"/>
      <x:c r="X23" s="80"/>
      <x:c r="Y23" s="43"/>
      <x:c r="Z23" s="458">
        <x:f>SUBTOTAL(9,Z24:Z26)</x:f>
        <x:v>0</x:v>
      </x:c>
      <x:c r="AA23" s="458">
        <x:f>SUBTOTAL(9,AA24:AA26)</x:f>
        <x:v>0</x:v>
      </x:c>
      <x:c r="AB23" s="556" t="str">
        <x:f>IF(COUNTIF(AB24:AB26,"@@")&gt;0,"@@","OK")</x:f>
        <x:v>OK</x:v>
      </x:c>
      <x:c r="AC23" s="44"/>
      <x:c r="AD23" s="458">
        <x:f>SUBTOTAL(9,AD24:AD26)</x:f>
        <x:v>0</x:v>
      </x:c>
      <x:c r="AE23" s="458">
        <x:f>SUBTOTAL(9,AE24:AE26)</x:f>
        <x:v>0</x:v>
      </x:c>
      <x:c r="AF23" s="556" t="str">
        <x:f>IF(COUNTIF(AF24:AF26,"@@")&gt;0,"@@","OK")</x:f>
        <x:v>OK</x:v>
      </x:c>
      <x:c r="AG23" s="44"/>
      <x:c r="AH23" s="171"/>
      <x:c r="AI23" s="171"/>
      <x:c r="AJ23" s="44"/>
      <x:c r="AK23" s="171"/>
      <x:c r="AL23" s="44"/>
      <x:c r="AM23" s="458">
        <x:f>SUBTOTAL(9,AM24:AM26)</x:f>
        <x:v>0</x:v>
      </x:c>
      <x:c r="AN23" s="458">
        <x:f>SUBTOTAL(9,AN24:AN26)</x:f>
        <x:v>0</x:v>
      </x:c>
      <x:c r="AO23" s="556" t="str">
        <x:f>IF(COUNTIF(AO24:AO26,"@@")&gt;0,"@@","OK")</x:f>
        <x:v>OK</x:v>
      </x:c>
      <x:c r="AP23" s="44"/>
      <x:c r="AQ23" s="458">
        <x:f>SUBTOTAL(9,AQ24:AQ26)</x:f>
        <x:v>0</x:v>
      </x:c>
      <x:c r="AR23" s="458">
        <x:f>SUBTOTAL(9,AR24:AR26)</x:f>
        <x:v>0</x:v>
      </x:c>
      <x:c r="AS23" s="556" t="str">
        <x:f>IF(COUNTIF(AS24:AS26,"@@")&gt;0,"@@","OK")</x:f>
        <x:v>OK</x:v>
      </x:c>
    </x:row>
    <x:row r="24" spans="1:45" s="20" customFormat="1" ht="80.099999999999994" customHeight="1">
      <x:c r="A24" s="155" t="str">
        <x:f>IF(D24="","",COUNTA($C$7:C24)-COUNTBLANK($C$7:C24)+5)</x:f>
        <x:v/>
      </x:c>
      <x:c r="B24" s="156" t="str">
        <x: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x:f>
        <x:v/>
      </x:c>
      <x:c r="C24" s="156" t="str">
        <x:f>IF(D24="","",IF(OR(D24="교육지원과",D24="총무과",D24="인사과"),"직접입력",VLOOKUP(D24,구분표!$A$3:$C$258,3,)))</x:f>
        <x:v/>
      </x:c>
      <x:c r="D24" s="226"/>
      <x:c r="E24" s="213"/>
      <x:c r="F24" s="388" t="str">
        <x:f>IF($E24="","",IF($E24="2추","직접입력","-"))</x:f>
        <x:v/>
      </x:c>
      <x:c r="G24" s="388" t="str">
        <x:f>IF($E24="","",IF($E24="2추","직접입력","-"))</x:f>
        <x:v/>
      </x:c>
      <x:c r="H24" s="214"/>
      <x:c r="I24" s="237" t="str">
        <x:f>IF(H24="","",VLOOKUP($H24,구분표!$O$3:$P$168,2,FALSE))</x:f>
        <x:v/>
      </x:c>
      <x:c r="J24" s="215"/>
      <x:c r="K24" s="459" t="str">
        <x:f>IF($E24="","",IF(OR($E24="2추",$E24="1추",$E24="본예산"),"금액입력","-"))</x:f>
        <x:v/>
      </x:c>
      <x:c r="L24" s="459" t="str">
        <x:f>IF($E24="","",IF($E24="2추","금액입력","-"))</x:f>
        <x:v/>
      </x:c>
      <x:c r="M24" s="461" t="str">
        <x:f t="shared" ref="M24:M26" si="79">IF($E24="","",SUM(K24:L24))</x:f>
        <x:v/>
      </x:c>
      <x:c r="N24" s="460"/>
      <x:c r="O24" s="461">
        <x:f t="shared" ref="O24:O26" si="80">SUM(M24:N24)</x:f>
        <x:v>0</x:v>
      </x:c>
      <x:c r="P24" s="462"/>
      <x:c r="Q24" s="463">
        <x:f t="shared" ref="Q24:Q26" si="81">SUM(M24,P24)</x:f>
        <x:v>0</x:v>
      </x:c>
      <x:c r="R24" s="162" t="str">
        <x:f t="shared" ref="R24:R26" si="82">IF(AND((O24=0),(Q24&gt;0)),"O",IF(AND((N24&lt;0),(O24-Q24&lt;0)),"O","X"))</x:f>
        <x:v>X</x:v>
      </x:c>
      <x:c r="S24" s="230"/>
      <x:c r="T24" s="225"/>
      <x:c r="U24" s="217"/>
      <x:c r="V24" s="203"/>
      <x:c r="W24" s="162" t="str">
        <x:f t="shared" ref="W24:W26" si="83">IF($H24="","",IF(OR($H24="511-01",$H24="511-02",$H24="511-03",$H24="311-02",$H24="311-04",$H24="321-01"),"국도비","도비"))</x:f>
        <x:v/>
      </x:c>
      <x:c r="X24" s="217"/>
      <x:c r="Y24" s="45"/>
      <x:c r="Z24" s="508" t="str">
        <x:f t="shared" ref="Z24:Z26" si="84">IF($W24="","",IF($W24="국도비",$N24,0))</x:f>
        <x:v/>
      </x:c>
      <x:c r="AA24" s="508" t="str">
        <x:f t="shared" ref="AA24:AA26" si="85">IF($W24="","",IF($W24="도비",$N24,0))</x:f>
        <x:v/>
      </x:c>
      <x:c r="AB24" s="374" t="str">
        <x:f t="shared" ref="AB24:AB26" si="86">IF($W24="","",IF($N24=SUM($Z24:$AA24),"OK","@@"))</x:f>
        <x:v/>
      </x:c>
      <x:c r="AC24" s="46"/>
      <x:c r="AD24" s="508" t="str">
        <x:f t="shared" ref="AD24:AD26" si="87">IF($W24="","",IF($W24="국도비",$P24,0))</x:f>
        <x:v/>
      </x:c>
      <x:c r="AE24" s="508" t="str">
        <x:f t="shared" ref="AE24:AE26" si="88">IF($W24="","",IF($W24="도비",$P24,0))</x:f>
        <x:v/>
      </x:c>
      <x:c r="AF24" s="374" t="str">
        <x:f t="shared" ref="AF24:AF26" si="89">IF($W24="","",IF($P24=SUM($AD24:$AE24),"OK","@@"))</x:f>
        <x:v/>
      </x:c>
      <x:c r="AG24" s="46"/>
      <x:c r="AH24" s="374" t="str">
        <x:f>IF(AK24="","",IF($W24="도비","-",CONCATENATE(AK24,"-",COUNTIF(AK$7:$AK24,AK24))))</x:f>
        <x:v/>
      </x:c>
      <x:c r="AI24" s="374" t="str">
        <x:f t="shared" ref="AI24:AI26" si="90">IF($H24="","",IF($H24="511-01","국비",IF($H24="511-02","균특",IF($H24="511-03","기금",IF($H24="311-02","특교",IF($H24="311-04","소교",IF($H24="321-01","소멸","도비")))))))</x:f>
        <x:v/>
      </x:c>
      <x:c r="AJ24" s="46"/>
      <x:c r="AK24" s="374" t="str">
        <x:f t="array" ref="AK24:AK24">IF(OR($D24="",$C24="직접입력",$B24="직접입력"),"",INDEX(구분표!$I$2:$I$337,MATCH(1,(구분표!$G$2:$G$337='5. 기입'!$B24)*(구분표!$E$2:$E$337='5. 기입'!$C24)*(구분표!$F$2:$F$337='5. 기입'!$D24),0)))</x:f>
        <x:v/>
      </x:c>
      <x:c r="AL24" s="47"/>
      <x:c r="AM24" s="472" t="str">
        <x:f>IF($AH24="","",IF($AH24="-",0,SUMIFS('5. 기출'!$AB$7:$AB$2012,'5. 기출'!$AJ$7:$AJ$2012,$AH24)))</x:f>
        <x:v/>
      </x:c>
      <x:c r="AN24" s="377" t="str">
        <x:f>IF($AH24="","",IF($AH24="-",0,COUNTIF('5. 기출'!$AJ$7:$AJ$2012,$AH24)))</x:f>
        <x:v/>
      </x:c>
      <x:c r="AO24" s="374" t="str">
        <x:f t="shared" ref="AO24:AO26" si="91">IF($AH24="","",IF($Z24=$AM24,"OK","@@"))</x:f>
        <x:v/>
      </x:c>
      <x:c r="AP24" s="47"/>
      <x:c r="AQ24" s="472" t="str">
        <x:f>IF($AH24="","",IF($AH24="-",0,SUMIFS('5. 기출'!$AF$7:$AF$2012,'5. 기출'!$AJ$7:$AJ$2012,$AH24)))</x:f>
        <x:v/>
      </x:c>
      <x:c r="AR24" s="377" t="str">
        <x:f>IF($AH24="","",IF($AH24="-",0,COUNTIF('5. 기출'!$AJ$7:$AJ$2012,$AH24)))</x:f>
        <x:v/>
      </x:c>
      <x:c r="AS24" s="374" t="str">
        <x:f t="shared" ref="AS24:AS26" si="92">IF($AH24="","",IF($AD24=$AQ24,"OK","@@"))</x:f>
        <x:v/>
      </x:c>
    </x:row>
    <x:row r="25" spans="1:45" s="20" customFormat="1" ht="80.099999999999994" customHeight="1">
      <x:c r="A25" s="155" t="str">
        <x:f>IF(D25="","",COUNTA($C$7:C25)-COUNTBLANK($C$7:C25)+5)</x:f>
        <x:v/>
      </x:c>
      <x:c r="B25" s="156" t="str">
        <x: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x:f>
        <x:v/>
      </x:c>
      <x:c r="C25" s="156" t="str">
        <x:f>IF(D25="","",IF(OR(D25="교육지원과",D25="총무과",D25="인사과"),"직접입력",VLOOKUP(D25,구분표!$A$3:$C$258,3,)))</x:f>
        <x:v/>
      </x:c>
      <x:c r="D25" s="226"/>
      <x:c r="E25" s="213"/>
      <x:c r="F25" s="388" t="str">
        <x:f t="shared" ref="F25:G26" si="93">IF($E25="","",IF($E25="2추","직접입력","-"))</x:f>
        <x:v/>
      </x:c>
      <x:c r="G25" s="388" t="str">
        <x:f t="shared" si="93"/>
        <x:v/>
      </x:c>
      <x:c r="H25" s="214"/>
      <x:c r="I25" s="237" t="str">
        <x:f>IF(H25="","",VLOOKUP($H25,구분표!$O$3:$P$168,2,FALSE))</x:f>
        <x:v/>
      </x:c>
      <x:c r="J25" s="215"/>
      <x:c r="K25" s="459" t="str">
        <x:f t="shared" ref="K25:K26" si="94">IF($E25="","",IF(OR($E25="2추",$E25="1추",$E25="본예산"),"금액입력","-"))</x:f>
        <x:v/>
      </x:c>
      <x:c r="L25" s="459" t="str">
        <x:f t="shared" ref="L25:L26" si="95">IF($E25="","",IF($E25="2추","금액입력","-"))</x:f>
        <x:v/>
      </x:c>
      <x:c r="M25" s="461" t="str">
        <x:f t="shared" si="79"/>
        <x:v/>
      </x:c>
      <x:c r="N25" s="460"/>
      <x:c r="O25" s="461">
        <x:f t="shared" si="80"/>
        <x:v>0</x:v>
      </x:c>
      <x:c r="P25" s="462"/>
      <x:c r="Q25" s="463">
        <x:f t="shared" si="81"/>
        <x:v>0</x:v>
      </x:c>
      <x:c r="R25" s="162" t="str">
        <x:f t="shared" si="82"/>
        <x:v>X</x:v>
      </x:c>
      <x:c r="S25" s="230"/>
      <x:c r="T25" s="225"/>
      <x:c r="U25" s="217"/>
      <x:c r="V25" s="203"/>
      <x:c r="W25" s="162" t="str">
        <x:f t="shared" si="83"/>
        <x:v/>
      </x:c>
      <x:c r="X25" s="217"/>
      <x:c r="Y25" s="45"/>
      <x:c r="Z25" s="508" t="str">
        <x:f t="shared" si="84"/>
        <x:v/>
      </x:c>
      <x:c r="AA25" s="508" t="str">
        <x:f t="shared" si="85"/>
        <x:v/>
      </x:c>
      <x:c r="AB25" s="374" t="str">
        <x:f t="shared" si="86"/>
        <x:v/>
      </x:c>
      <x:c r="AC25" s="46"/>
      <x:c r="AD25" s="508" t="str">
        <x:f t="shared" si="87"/>
        <x:v/>
      </x:c>
      <x:c r="AE25" s="508" t="str">
        <x:f t="shared" si="88"/>
        <x:v/>
      </x:c>
      <x:c r="AF25" s="374" t="str">
        <x:f t="shared" si="89"/>
        <x:v/>
      </x:c>
      <x:c r="AG25" s="46"/>
      <x:c r="AH25" s="374" t="str">
        <x:f>IF(AK25="","",IF($W25="도비","-",CONCATENATE(AK25,"-",COUNTIF(AK$7:$AK25,AK25))))</x:f>
        <x:v/>
      </x:c>
      <x:c r="AI25" s="374" t="str">
        <x:f t="shared" si="90"/>
        <x:v/>
      </x:c>
      <x:c r="AJ25" s="46"/>
      <x:c r="AK25" s="374" t="str">
        <x:f t="array" ref="AK25:AK25">IF(OR($D25="",$C25="직접입력",$B25="직접입력"),"",INDEX(구분표!$I$2:$I$337,MATCH(1,(구분표!$G$2:$G$337='5. 기입'!$B25)*(구분표!$E$2:$E$337='5. 기입'!$C25)*(구분표!$F$2:$F$337='5. 기입'!$D25),0)))</x:f>
        <x:v/>
      </x:c>
      <x:c r="AL25" s="47"/>
      <x:c r="AM25" s="472" t="str">
        <x:f>IF($AH25="","",IF($AH25="-",0,SUMIFS('5. 기출'!$AB$7:$AB$2012,'5. 기출'!$AJ$7:$AJ$2012,$AH25)))</x:f>
        <x:v/>
      </x:c>
      <x:c r="AN25" s="377" t="str">
        <x:f>IF($AH25="","",IF($AH25="-",0,COUNTIF('5. 기출'!$AJ$7:$AJ$2012,$AH25)))</x:f>
        <x:v/>
      </x:c>
      <x:c r="AO25" s="374" t="str">
        <x:f t="shared" si="91"/>
        <x:v/>
      </x:c>
      <x:c r="AP25" s="47"/>
      <x:c r="AQ25" s="472" t="str">
        <x:f>IF($AH25="","",IF($AH25="-",0,SUMIFS('5. 기출'!$AF$7:$AF$2012,'5. 기출'!$AJ$7:$AJ$2012,$AH25)))</x:f>
        <x:v/>
      </x:c>
      <x:c r="AR25" s="377" t="str">
        <x:f>IF($AH25="","",IF($AH25="-",0,COUNTIF('5. 기출'!$AJ$7:$AJ$2012,$AH25)))</x:f>
        <x:v/>
      </x:c>
      <x:c r="AS25" s="374" t="str">
        <x:f t="shared" si="92"/>
        <x:v/>
      </x:c>
    </x:row>
    <x:row r="26" spans="1:45" s="20" customFormat="1" ht="80.099999999999994" customHeight="1">
      <x:c r="A26" s="155" t="str">
        <x:f>IF(D26="","",COUNTA($C$7:C26)-COUNTBLANK($C$7:C26)+5)</x:f>
        <x:v/>
      </x:c>
      <x:c r="B26" s="156" t="str">
        <x: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x:f>
        <x:v/>
      </x:c>
      <x:c r="C26" s="156" t="str">
        <x:f>IF(D26="","",IF(OR(D26="교육지원과",D26="총무과",D26="인사과"),"직접입력",VLOOKUP(D26,구분표!$A$3:$C$258,3,)))</x:f>
        <x:v/>
      </x:c>
      <x:c r="D26" s="226"/>
      <x:c r="E26" s="213"/>
      <x:c r="F26" s="388" t="str">
        <x:f t="shared" si="93"/>
        <x:v/>
      </x:c>
      <x:c r="G26" s="388" t="str">
        <x:f t="shared" si="93"/>
        <x:v/>
      </x:c>
      <x:c r="H26" s="214"/>
      <x:c r="I26" s="237" t="str">
        <x:f>IF(H26="","",VLOOKUP($H26,구분표!$O$3:$P$168,2,FALSE))</x:f>
        <x:v/>
      </x:c>
      <x:c r="J26" s="215"/>
      <x:c r="K26" s="459" t="str">
        <x:f t="shared" si="94"/>
        <x:v/>
      </x:c>
      <x:c r="L26" s="459" t="str">
        <x:f t="shared" si="95"/>
        <x:v/>
      </x:c>
      <x:c r="M26" s="461" t="str">
        <x:f t="shared" si="79"/>
        <x:v/>
      </x:c>
      <x:c r="N26" s="460"/>
      <x:c r="O26" s="461">
        <x:f t="shared" si="80"/>
        <x:v>0</x:v>
      </x:c>
      <x:c r="P26" s="462"/>
      <x:c r="Q26" s="463">
        <x:f t="shared" si="81"/>
        <x:v>0</x:v>
      </x:c>
      <x:c r="R26" s="162" t="str">
        <x:f t="shared" si="82"/>
        <x:v>X</x:v>
      </x:c>
      <x:c r="S26" s="230"/>
      <x:c r="T26" s="225"/>
      <x:c r="U26" s="217"/>
      <x:c r="V26" s="203"/>
      <x:c r="W26" s="162" t="str">
        <x:f t="shared" si="83"/>
        <x:v/>
      </x:c>
      <x:c r="X26" s="217"/>
      <x:c r="Y26" s="45"/>
      <x:c r="Z26" s="508" t="str">
        <x:f t="shared" si="84"/>
        <x:v/>
      </x:c>
      <x:c r="AA26" s="508" t="str">
        <x:f t="shared" si="85"/>
        <x:v/>
      </x:c>
      <x:c r="AB26" s="374" t="str">
        <x:f t="shared" si="86"/>
        <x:v/>
      </x:c>
      <x:c r="AC26" s="46"/>
      <x:c r="AD26" s="508" t="str">
        <x:f t="shared" si="87"/>
        <x:v/>
      </x:c>
      <x:c r="AE26" s="508" t="str">
        <x:f t="shared" si="88"/>
        <x:v/>
      </x:c>
      <x:c r="AF26" s="374" t="str">
        <x:f t="shared" si="89"/>
        <x:v/>
      </x:c>
      <x:c r="AG26" s="46"/>
      <x:c r="AH26" s="374" t="str">
        <x:f>IF(AK26="","",IF($W26="도비","-",CONCATENATE(AK26,"-",COUNTIF(AK$7:$AK26,AK26))))</x:f>
        <x:v/>
      </x:c>
      <x:c r="AI26" s="374" t="str">
        <x:f t="shared" si="90"/>
        <x:v/>
      </x:c>
      <x:c r="AJ26" s="46"/>
      <x:c r="AK26" s="374" t="str">
        <x:f t="array" ref="AK26:AK26">IF(OR($D26="",$C26="직접입력",$B26="직접입력"),"",INDEX(구분표!$I$2:$I$337,MATCH(1,(구분표!$G$2:$G$337='5. 기입'!$B26)*(구분표!$E$2:$E$337='5. 기입'!$C26)*(구분표!$F$2:$F$337='5. 기입'!$D26),0)))</x:f>
        <x:v/>
      </x:c>
      <x:c r="AL26" s="47"/>
      <x:c r="AM26" s="472" t="str">
        <x:f>IF($AH26="","",IF($AH26="-",0,SUMIFS('5. 기출'!$AB$7:$AB$2012,'5. 기출'!$AJ$7:$AJ$2012,$AH26)))</x:f>
        <x:v/>
      </x:c>
      <x:c r="AN26" s="377" t="str">
        <x:f>IF($AH26="","",IF($AH26="-",0,COUNTIF('5. 기출'!$AJ$7:$AJ$2012,$AH26)))</x:f>
        <x:v/>
      </x:c>
      <x:c r="AO26" s="374" t="str">
        <x:f t="shared" si="91"/>
        <x:v/>
      </x:c>
      <x:c r="AP26" s="47"/>
      <x:c r="AQ26" s="472" t="str">
        <x:f>IF($AH26="","",IF($AH26="-",0,SUMIFS('5. 기출'!$AF$7:$AF$2012,'5. 기출'!$AJ$7:$AJ$2012,$AH26)))</x:f>
        <x:v/>
      </x:c>
      <x:c r="AR26" s="377" t="str">
        <x:f>IF($AH26="","",IF($AH26="-",0,COUNTIF('5. 기출'!$AJ$7:$AJ$2012,$AH26)))</x:f>
        <x:v/>
      </x:c>
      <x:c r="AS26" s="374" t="str">
        <x:f t="shared" si="92"/>
        <x:v/>
      </x:c>
    </x:row>
    <x:row r="27" spans="1:45" ht="51.75" customHeight="1">
      <x:c r="A27" s="171"/>
      <x:c r="B27" s="888" t="s">
        <x:v>1648</x:v>
      </x:c>
      <x:c r="C27" s="888"/>
      <x:c r="D27" s="888"/>
      <x:c r="E27" s="888"/>
      <x:c r="F27" s="888"/>
      <x:c r="G27" s="888"/>
      <x:c r="H27" s="79"/>
      <x:c r="I27" s="79"/>
      <x:c r="J27" s="349" t="str">
        <x:f>SUBTOTAL(3,J28:J30)&amp;"건"</x:f>
        <x:v>0건</x:v>
      </x:c>
      <x:c r="K27" s="458">
        <x:f t="shared" ref="K27:Q27" si="96">SUBTOTAL(9,K28:K30)</x:f>
        <x:v>0</x:v>
      </x:c>
      <x:c r="L27" s="458">
        <x:f t="shared" si="96"/>
        <x:v>0</x:v>
      </x:c>
      <x:c r="M27" s="458">
        <x:f t="shared" si="96"/>
        <x:v>0</x:v>
      </x:c>
      <x:c r="N27" s="458">
        <x:f t="shared" si="96"/>
        <x:v>0</x:v>
      </x:c>
      <x:c r="O27" s="458">
        <x:f t="shared" si="96"/>
        <x:v>0</x:v>
      </x:c>
      <x:c r="P27" s="458">
        <x:f t="shared" si="96"/>
        <x:v>0</x:v>
      </x:c>
      <x:c r="Q27" s="458">
        <x:f t="shared" si="96"/>
        <x:v>0</x:v>
      </x:c>
      <x:c r="R27" s="78"/>
      <x:c r="S27" s="78"/>
      <x:c r="T27" s="78"/>
      <x:c r="U27" s="78"/>
      <x:c r="V27" s="78"/>
      <x:c r="W27" s="80"/>
      <x:c r="X27" s="80"/>
      <x:c r="Y27" s="43"/>
      <x:c r="Z27" s="458">
        <x:f>SUBTOTAL(9,Z28:Z30)</x:f>
        <x:v>0</x:v>
      </x:c>
      <x:c r="AA27" s="458">
        <x:f>SUBTOTAL(9,AA28:AA30)</x:f>
        <x:v>0</x:v>
      </x:c>
      <x:c r="AB27" s="556" t="str">
        <x:f>IF(COUNTIF(AB28:AB30,"@@")&gt;0,"@@","OK")</x:f>
        <x:v>OK</x:v>
      </x:c>
      <x:c r="AC27" s="44"/>
      <x:c r="AD27" s="458">
        <x:f>SUBTOTAL(9,AD28:AD30)</x:f>
        <x:v>0</x:v>
      </x:c>
      <x:c r="AE27" s="458">
        <x:f>SUBTOTAL(9,AE28:AE30)</x:f>
        <x:v>0</x:v>
      </x:c>
      <x:c r="AF27" s="556" t="str">
        <x:f>IF(COUNTIF(AF28:AF30,"@@")&gt;0,"@@","OK")</x:f>
        <x:v>OK</x:v>
      </x:c>
      <x:c r="AG27" s="44"/>
      <x:c r="AH27" s="171"/>
      <x:c r="AI27" s="171"/>
      <x:c r="AJ27" s="44"/>
      <x:c r="AK27" s="171"/>
      <x:c r="AL27" s="44"/>
      <x:c r="AM27" s="458">
        <x:f>SUBTOTAL(9,AM28:AM30)</x:f>
        <x:v>0</x:v>
      </x:c>
      <x:c r="AN27" s="458">
        <x:f>SUBTOTAL(9,AN28:AN30)</x:f>
        <x:v>0</x:v>
      </x:c>
      <x:c r="AO27" s="556" t="str">
        <x:f>IF(COUNTIF(AO28:AO30,"@@")&gt;0,"@@","OK")</x:f>
        <x:v>OK</x:v>
      </x:c>
      <x:c r="AP27" s="44"/>
      <x:c r="AQ27" s="458">
        <x:f>SUBTOTAL(9,AQ28:AQ30)</x:f>
        <x:v>0</x:v>
      </x:c>
      <x:c r="AR27" s="458">
        <x:f>SUBTOTAL(9,AR28:AR30)</x:f>
        <x:v>0</x:v>
      </x:c>
      <x:c r="AS27" s="556" t="str">
        <x:f>IF(COUNTIF(AS28:AS30,"@@")&gt;0,"@@","OK")</x:f>
        <x:v>OK</x:v>
      </x:c>
    </x:row>
    <x:row r="28" spans="1:45" s="20" customFormat="1" ht="80.099999999999994" customHeight="1">
      <x:c r="A28" s="155" t="str">
        <x:f>IF(D28="","",COUNTA($C$7:C28)-COUNTBLANK($C$7:C28)+6)</x:f>
        <x:v/>
      </x:c>
      <x:c r="B28" s="156" t="str">
        <x: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x:f>
        <x:v/>
      </x:c>
      <x:c r="C28" s="156" t="str">
        <x:f>IF(D28="","",IF(OR(D28="교육지원과",D28="총무과",D28="인사과"),"직접입력",VLOOKUP(D28,구분표!$A$3:$C$258,3,)))</x:f>
        <x:v/>
      </x:c>
      <x:c r="D28" s="226"/>
      <x:c r="E28" s="213"/>
      <x:c r="F28" s="388" t="str">
        <x:f>IF($E28="","",IF($E28="2추","직접입력","-"))</x:f>
        <x:v/>
      </x:c>
      <x:c r="G28" s="388" t="str">
        <x:f>IF($E28="","",IF($E28="2추","직접입력","-"))</x:f>
        <x:v/>
      </x:c>
      <x:c r="H28" s="214"/>
      <x:c r="I28" s="237" t="str">
        <x:f>IF(H28="","",VLOOKUP($H28,구분표!$O$3:$P$168,2,FALSE))</x:f>
        <x:v/>
      </x:c>
      <x:c r="J28" s="215"/>
      <x:c r="K28" s="459" t="str">
        <x:f>IF($E28="","",IF(OR($E28="2추",$E28="1추",$E28="본예산"),"금액입력","-"))</x:f>
        <x:v/>
      </x:c>
      <x:c r="L28" s="459" t="str">
        <x:f>IF($E28="","",IF($E28="2추","금액입력","-"))</x:f>
        <x:v/>
      </x:c>
      <x:c r="M28" s="461" t="str">
        <x:f t="shared" ref="M28:M30" si="97">IF($E28="","",SUM(K28:L28))</x:f>
        <x:v/>
      </x:c>
      <x:c r="N28" s="460"/>
      <x:c r="O28" s="461">
        <x:f t="shared" ref="O28:O30" si="98">SUM(M28:N28)</x:f>
        <x:v>0</x:v>
      </x:c>
      <x:c r="P28" s="462"/>
      <x:c r="Q28" s="463">
        <x:f t="shared" ref="Q28:Q30" si="99">SUM(M28,P28)</x:f>
        <x:v>0</x:v>
      </x:c>
      <x:c r="R28" s="162" t="str">
        <x:f t="shared" ref="R28:R30" si="100">IF(AND((O28=0),(Q28&gt;0)),"O",IF(AND((N28&lt;0),(O28-Q28&lt;0)),"O","X"))</x:f>
        <x:v>X</x:v>
      </x:c>
      <x:c r="S28" s="230"/>
      <x:c r="T28" s="225"/>
      <x:c r="U28" s="217"/>
      <x:c r="V28" s="203"/>
      <x:c r="W28" s="162" t="str">
        <x:f t="shared" ref="W28:W30" si="101">IF($H28="","",IF(OR($H28="511-01",$H28="511-02",$H28="511-03",$H28="311-02",$H28="311-04",$H28="321-01"),"국도비","도비"))</x:f>
        <x:v/>
      </x:c>
      <x:c r="X28" s="217"/>
      <x:c r="Y28" s="45"/>
      <x:c r="Z28" s="508" t="str">
        <x:f t="shared" ref="Z28:Z30" si="102">IF($W28="","",IF($W28="국도비",$N28,0))</x:f>
        <x:v/>
      </x:c>
      <x:c r="AA28" s="508" t="str">
        <x:f t="shared" ref="AA28:AA30" si="103">IF($W28="","",IF($W28="도비",$N28,0))</x:f>
        <x:v/>
      </x:c>
      <x:c r="AB28" s="374" t="str">
        <x:f t="shared" ref="AB28:AB30" si="104">IF($W28="","",IF($N28=SUM($Z28:$AA28),"OK","@@"))</x:f>
        <x:v/>
      </x:c>
      <x:c r="AC28" s="46"/>
      <x:c r="AD28" s="508" t="str">
        <x:f t="shared" ref="AD28:AD30" si="105">IF($W28="","",IF($W28="국도비",$P28,0))</x:f>
        <x:v/>
      </x:c>
      <x:c r="AE28" s="508" t="str">
        <x:f t="shared" ref="AE28:AE30" si="106">IF($W28="","",IF($W28="도비",$P28,0))</x:f>
        <x:v/>
      </x:c>
      <x:c r="AF28" s="374" t="str">
        <x:f t="shared" ref="AF28:AF30" si="107">IF($W28="","",IF($P28=SUM($AD28:$AE28),"OK","@@"))</x:f>
        <x:v/>
      </x:c>
      <x:c r="AG28" s="46"/>
      <x:c r="AH28" s="374" t="str">
        <x:f>IF(AK28="","",IF($W28="도비","-",CONCATENATE(AK28,"-",COUNTIF(AK$7:$AK28,AK28))))</x:f>
        <x:v/>
      </x:c>
      <x:c r="AI28" s="374" t="str">
        <x:f t="shared" ref="AI28:AI30" si="108">IF($H28="","",IF($H28="511-01","국비",IF($H28="511-02","균특",IF($H28="511-03","기금",IF($H28="311-02","특교",IF($H28="311-04","소교",IF($H28="321-01","소멸","도비")))))))</x:f>
        <x:v/>
      </x:c>
      <x:c r="AJ28" s="46"/>
      <x:c r="AK28" s="374" t="str">
        <x:f t="array" ref="AK28:AK28">IF(OR($D28="",$C28="직접입력",$B28="직접입력"),"",INDEX(구분표!$I$2:$I$337,MATCH(1,(구분표!$G$2:$G$337='5. 기입'!$B28)*(구분표!$E$2:$E$337='5. 기입'!$C28)*(구분표!$F$2:$F$337='5. 기입'!$D28),0)))</x:f>
        <x:v/>
      </x:c>
      <x:c r="AL28" s="47"/>
      <x:c r="AM28" s="472" t="str">
        <x:f>IF($AH28="","",IF($AH28="-",0,SUMIFS('5. 기출'!$AB$7:$AB$2012,'5. 기출'!$AJ$7:$AJ$2012,$AH28)))</x:f>
        <x:v/>
      </x:c>
      <x:c r="AN28" s="377" t="str">
        <x:f>IF($AH28="","",IF($AH28="-",0,COUNTIF('5. 기출'!$AJ$7:$AJ$2012,$AH28)))</x:f>
        <x:v/>
      </x:c>
      <x:c r="AO28" s="374" t="str">
        <x:f t="shared" ref="AO28:AO30" si="109">IF($AH28="","",IF($Z28=$AM28,"OK","@@"))</x:f>
        <x:v/>
      </x:c>
      <x:c r="AP28" s="47"/>
      <x:c r="AQ28" s="472" t="str">
        <x:f>IF($AH28="","",IF($AH28="-",0,SUMIFS('5. 기출'!$AF$7:$AF$2012,'5. 기출'!$AJ$7:$AJ$2012,$AH28)))</x:f>
        <x:v/>
      </x:c>
      <x:c r="AR28" s="377" t="str">
        <x:f>IF($AH28="","",IF($AH28="-",0,COUNTIF('5. 기출'!$AJ$7:$AJ$2012,$AH28)))</x:f>
        <x:v/>
      </x:c>
      <x:c r="AS28" s="374" t="str">
        <x:f t="shared" ref="AS28:AS30" si="110">IF($AH28="","",IF($AD28=$AQ28,"OK","@@"))</x:f>
        <x:v/>
      </x:c>
    </x:row>
    <x:row r="29" spans="1:45" s="20" customFormat="1" ht="80.099999999999994" customHeight="1">
      <x:c r="A29" s="155" t="str">
        <x:f>IF(D29="","",COUNTA($C$7:C29)-COUNTBLANK($C$7:C29)+6)</x:f>
        <x:v/>
      </x:c>
      <x:c r="B29" s="156" t="str">
        <x: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x:f>
        <x:v/>
      </x:c>
      <x:c r="C29" s="156" t="str">
        <x:f>IF(D29="","",IF(OR(D29="교육지원과",D29="총무과",D29="인사과"),"직접입력",VLOOKUP(D29,구분표!$A$3:$C$258,3,)))</x:f>
        <x:v/>
      </x:c>
      <x:c r="D29" s="226"/>
      <x:c r="E29" s="213"/>
      <x:c r="F29" s="388" t="str">
        <x:f t="shared" ref="F29:G30" si="111">IF($E29="","",IF($E29="2추","직접입력","-"))</x:f>
        <x:v/>
      </x:c>
      <x:c r="G29" s="388" t="str">
        <x:f t="shared" si="111"/>
        <x:v/>
      </x:c>
      <x:c r="H29" s="214"/>
      <x:c r="I29" s="237" t="str">
        <x:f>IF(H29="","",VLOOKUP($H29,구분표!$O$3:$P$168,2,FALSE))</x:f>
        <x:v/>
      </x:c>
      <x:c r="J29" s="215"/>
      <x:c r="K29" s="459" t="str">
        <x:f t="shared" ref="K29:K30" si="112">IF($E29="","",IF(OR($E29="2추",$E29="1추",$E29="본예산"),"금액입력","-"))</x:f>
        <x:v/>
      </x:c>
      <x:c r="L29" s="459" t="str">
        <x:f t="shared" ref="L29:L30" si="113">IF($E29="","",IF($E29="2추","금액입력","-"))</x:f>
        <x:v/>
      </x:c>
      <x:c r="M29" s="461" t="str">
        <x:f t="shared" si="97"/>
        <x:v/>
      </x:c>
      <x:c r="N29" s="460"/>
      <x:c r="O29" s="461">
        <x:f t="shared" si="98"/>
        <x:v>0</x:v>
      </x:c>
      <x:c r="P29" s="462"/>
      <x:c r="Q29" s="463">
        <x:f t="shared" si="99"/>
        <x:v>0</x:v>
      </x:c>
      <x:c r="R29" s="162" t="str">
        <x:f t="shared" si="100"/>
        <x:v>X</x:v>
      </x:c>
      <x:c r="S29" s="230"/>
      <x:c r="T29" s="225"/>
      <x:c r="U29" s="217"/>
      <x:c r="V29" s="203"/>
      <x:c r="W29" s="162" t="str">
        <x:f t="shared" si="101"/>
        <x:v/>
      </x:c>
      <x:c r="X29" s="217"/>
      <x:c r="Y29" s="45"/>
      <x:c r="Z29" s="508" t="str">
        <x:f t="shared" si="102"/>
        <x:v/>
      </x:c>
      <x:c r="AA29" s="508" t="str">
        <x:f t="shared" si="103"/>
        <x:v/>
      </x:c>
      <x:c r="AB29" s="374" t="str">
        <x:f t="shared" si="104"/>
        <x:v/>
      </x:c>
      <x:c r="AC29" s="46"/>
      <x:c r="AD29" s="508" t="str">
        <x:f t="shared" si="105"/>
        <x:v/>
      </x:c>
      <x:c r="AE29" s="508" t="str">
        <x:f t="shared" si="106"/>
        <x:v/>
      </x:c>
      <x:c r="AF29" s="374" t="str">
        <x:f t="shared" si="107"/>
        <x:v/>
      </x:c>
      <x:c r="AG29" s="46"/>
      <x:c r="AH29" s="374" t="str">
        <x:f>IF(AK29="","",IF($W29="도비","-",CONCATENATE(AK29,"-",COUNTIF(AK$7:$AK29,AK29))))</x:f>
        <x:v/>
      </x:c>
      <x:c r="AI29" s="374" t="str">
        <x:f t="shared" si="108"/>
        <x:v/>
      </x:c>
      <x:c r="AJ29" s="46"/>
      <x:c r="AK29" s="374" t="str">
        <x:f t="array" ref="AK29:AK29">IF(OR($D29="",$C29="직접입력",$B29="직접입력"),"",INDEX(구분표!$I$2:$I$337,MATCH(1,(구분표!$G$2:$G$337='5. 기입'!$B29)*(구분표!$E$2:$E$337='5. 기입'!$C29)*(구분표!$F$2:$F$337='5. 기입'!$D29),0)))</x:f>
        <x:v/>
      </x:c>
      <x:c r="AL29" s="47"/>
      <x:c r="AM29" s="472" t="str">
        <x:f>IF($AH29="","",IF($AH29="-",0,SUMIFS('5. 기출'!$AB$7:$AB$2012,'5. 기출'!$AJ$7:$AJ$2012,$AH29)))</x:f>
        <x:v/>
      </x:c>
      <x:c r="AN29" s="377" t="str">
        <x:f>IF($AH29="","",IF($AH29="-",0,COUNTIF('5. 기출'!$AJ$7:$AJ$2012,$AH29)))</x:f>
        <x:v/>
      </x:c>
      <x:c r="AO29" s="374" t="str">
        <x:f t="shared" si="109"/>
        <x:v/>
      </x:c>
      <x:c r="AP29" s="47"/>
      <x:c r="AQ29" s="472" t="str">
        <x:f>IF($AH29="","",IF($AH29="-",0,SUMIFS('5. 기출'!$AF$7:$AF$2012,'5. 기출'!$AJ$7:$AJ$2012,$AH29)))</x:f>
        <x:v/>
      </x:c>
      <x:c r="AR29" s="377" t="str">
        <x:f>IF($AH29="","",IF($AH29="-",0,COUNTIF('5. 기출'!$AJ$7:$AJ$2012,$AH29)))</x:f>
        <x:v/>
      </x:c>
      <x:c r="AS29" s="374" t="str">
        <x:f t="shared" si="110"/>
        <x:v/>
      </x:c>
    </x:row>
    <x:row r="30" spans="1:45" s="20" customFormat="1" ht="80.099999999999994" customHeight="1">
      <x:c r="A30" s="155" t="str">
        <x:f>IF(D30="","",COUNTA($C$7:C30)-COUNTBLANK($C$7:C30)+6)</x:f>
        <x:v/>
      </x:c>
      <x:c r="B30" s="156" t="str">
        <x: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x:f>
        <x:v/>
      </x:c>
      <x:c r="C30" s="156" t="str">
        <x:f>IF(D30="","",IF(OR(D30="교육지원과",D30="총무과",D30="인사과"),"직접입력",VLOOKUP(D30,구분표!$A$3:$C$258,3,)))</x:f>
        <x:v/>
      </x:c>
      <x:c r="D30" s="226"/>
      <x:c r="E30" s="213"/>
      <x:c r="F30" s="388" t="str">
        <x:f t="shared" si="111"/>
        <x:v/>
      </x:c>
      <x:c r="G30" s="388" t="str">
        <x:f t="shared" si="111"/>
        <x:v/>
      </x:c>
      <x:c r="H30" s="214"/>
      <x:c r="I30" s="237" t="str">
        <x:f>IF(H30="","",VLOOKUP($H30,구분표!$O$3:$P$168,2,FALSE))</x:f>
        <x:v/>
      </x:c>
      <x:c r="J30" s="215"/>
      <x:c r="K30" s="459" t="str">
        <x:f t="shared" si="112"/>
        <x:v/>
      </x:c>
      <x:c r="L30" s="459" t="str">
        <x:f t="shared" si="113"/>
        <x:v/>
      </x:c>
      <x:c r="M30" s="461" t="str">
        <x:f t="shared" si="97"/>
        <x:v/>
      </x:c>
      <x:c r="N30" s="460"/>
      <x:c r="O30" s="461">
        <x:f t="shared" si="98"/>
        <x:v>0</x:v>
      </x:c>
      <x:c r="P30" s="462"/>
      <x:c r="Q30" s="463">
        <x:f t="shared" si="99"/>
        <x:v>0</x:v>
      </x:c>
      <x:c r="R30" s="162" t="str">
        <x:f t="shared" si="100"/>
        <x:v>X</x:v>
      </x:c>
      <x:c r="S30" s="230"/>
      <x:c r="T30" s="225"/>
      <x:c r="U30" s="217"/>
      <x:c r="V30" s="203"/>
      <x:c r="W30" s="162" t="str">
        <x:f t="shared" si="101"/>
        <x:v/>
      </x:c>
      <x:c r="X30" s="217"/>
      <x:c r="Y30" s="45"/>
      <x:c r="Z30" s="508" t="str">
        <x:f t="shared" si="102"/>
        <x:v/>
      </x:c>
      <x:c r="AA30" s="508" t="str">
        <x:f t="shared" si="103"/>
        <x:v/>
      </x:c>
      <x:c r="AB30" s="374" t="str">
        <x:f t="shared" si="104"/>
        <x:v/>
      </x:c>
      <x:c r="AC30" s="46"/>
      <x:c r="AD30" s="508" t="str">
        <x:f t="shared" si="105"/>
        <x:v/>
      </x:c>
      <x:c r="AE30" s="508" t="str">
        <x:f t="shared" si="106"/>
        <x:v/>
      </x:c>
      <x:c r="AF30" s="374" t="str">
        <x:f t="shared" si="107"/>
        <x:v/>
      </x:c>
      <x:c r="AG30" s="46"/>
      <x:c r="AH30" s="374" t="str">
        <x:f>IF(AK30="","",IF($W30="도비","-",CONCATENATE(AK30,"-",COUNTIF(AK$7:$AK30,AK30))))</x:f>
        <x:v/>
      </x:c>
      <x:c r="AI30" s="374" t="str">
        <x:f t="shared" si="108"/>
        <x:v/>
      </x:c>
      <x:c r="AJ30" s="46"/>
      <x:c r="AK30" s="374" t="str">
        <x:f t="array" ref="AK30:AK30">IF(OR($D30="",$C30="직접입력",$B30="직접입력"),"",INDEX(구분표!$I$2:$I$337,MATCH(1,(구분표!$G$2:$G$337='5. 기입'!$B30)*(구분표!$E$2:$E$337='5. 기입'!$C30)*(구분표!$F$2:$F$337='5. 기입'!$D30),0)))</x:f>
        <x:v/>
      </x:c>
      <x:c r="AL30" s="47"/>
      <x:c r="AM30" s="472" t="str">
        <x:f>IF($AH30="","",IF($AH30="-",0,SUMIFS('5. 기출'!$AB$7:$AB$2012,'5. 기출'!$AJ$7:$AJ$2012,$AH30)))</x:f>
        <x:v/>
      </x:c>
      <x:c r="AN30" s="377" t="str">
        <x:f>IF($AH30="","",IF($AH30="-",0,COUNTIF('5. 기출'!$AJ$7:$AJ$2012,$AH30)))</x:f>
        <x:v/>
      </x:c>
      <x:c r="AO30" s="374" t="str">
        <x:f t="shared" si="109"/>
        <x:v/>
      </x:c>
      <x:c r="AP30" s="47"/>
      <x:c r="AQ30" s="472" t="str">
        <x:f>IF($AH30="","",IF($AH30="-",0,SUMIFS('5. 기출'!$AF$7:$AF$2012,'5. 기출'!$AJ$7:$AJ$2012,$AH30)))</x:f>
        <x:v/>
      </x:c>
      <x:c r="AR30" s="377" t="str">
        <x:f>IF($AH30="","",IF($AH30="-",0,COUNTIF('5. 기출'!$AJ$7:$AJ$2012,$AH30)))</x:f>
        <x:v/>
      </x:c>
      <x:c r="AS30" s="374" t="str">
        <x:f t="shared" si="110"/>
        <x:v/>
      </x:c>
    </x:row>
    <x:row r="31" spans="1:45" ht="60" customHeight="1">
      <x:c r="A31" s="171"/>
      <x:c r="B31" s="888" t="s">
        <x:v>1788</x:v>
      </x:c>
      <x:c r="C31" s="888"/>
      <x:c r="D31" s="888"/>
      <x:c r="E31" s="888"/>
      <x:c r="F31" s="888"/>
      <x:c r="G31" s="888"/>
      <x:c r="H31" s="79"/>
      <x:c r="I31" s="79"/>
      <x:c r="J31" s="349" t="str">
        <x:f>SUBTOTAL(3,J32:J34)&amp;"건"</x:f>
        <x:v>0건</x:v>
      </x:c>
      <x:c r="K31" s="458">
        <x:f t="shared" ref="K31:Q31" si="114">SUBTOTAL(9,K32:K34)</x:f>
        <x:v>0</x:v>
      </x:c>
      <x:c r="L31" s="458">
        <x:f t="shared" si="114"/>
        <x:v>0</x:v>
      </x:c>
      <x:c r="M31" s="458">
        <x:f t="shared" si="114"/>
        <x:v>0</x:v>
      </x:c>
      <x:c r="N31" s="458">
        <x:f t="shared" si="114"/>
        <x:v>0</x:v>
      </x:c>
      <x:c r="O31" s="458">
        <x:f t="shared" si="114"/>
        <x:v>0</x:v>
      </x:c>
      <x:c r="P31" s="458">
        <x:f t="shared" si="114"/>
        <x:v>0</x:v>
      </x:c>
      <x:c r="Q31" s="458">
        <x:f t="shared" si="114"/>
        <x:v>0</x:v>
      </x:c>
      <x:c r="R31" s="78"/>
      <x:c r="S31" s="78"/>
      <x:c r="T31" s="78"/>
      <x:c r="U31" s="78"/>
      <x:c r="V31" s="78"/>
      <x:c r="W31" s="80"/>
      <x:c r="X31" s="80"/>
      <x:c r="Y31" s="43"/>
      <x:c r="Z31" s="458">
        <x:f>SUBTOTAL(9,Z32:Z34)</x:f>
        <x:v>0</x:v>
      </x:c>
      <x:c r="AA31" s="458">
        <x:f>SUBTOTAL(9,AA32:AA34)</x:f>
        <x:v>0</x:v>
      </x:c>
      <x:c r="AB31" s="556" t="str">
        <x:f>IF(COUNTIF(AB32:AB34,"@@")&gt;0,"@@","OK")</x:f>
        <x:v>OK</x:v>
      </x:c>
      <x:c r="AC31" s="44"/>
      <x:c r="AD31" s="458">
        <x:f>SUBTOTAL(9,AD32:AD34)</x:f>
        <x:v>0</x:v>
      </x:c>
      <x:c r="AE31" s="458">
        <x:f>SUBTOTAL(9,AE32:AE34)</x:f>
        <x:v>0</x:v>
      </x:c>
      <x:c r="AF31" s="556" t="str">
        <x:f>IF(COUNTIF(AF32:AF34,"@@")&gt;0,"@@","OK")</x:f>
        <x:v>OK</x:v>
      </x:c>
      <x:c r="AG31" s="44"/>
      <x:c r="AH31" s="171"/>
      <x:c r="AI31" s="171"/>
      <x:c r="AJ31" s="44"/>
      <x:c r="AK31" s="171"/>
      <x:c r="AL31" s="44"/>
      <x:c r="AM31" s="458">
        <x:f>SUBTOTAL(9,AM32:AM34)</x:f>
        <x:v>0</x:v>
      </x:c>
      <x:c r="AN31" s="458">
        <x:f>SUBTOTAL(9,AN32:AN34)</x:f>
        <x:v>0</x:v>
      </x:c>
      <x:c r="AO31" s="556" t="str">
        <x:f>IF(COUNTIF(AO32:AO34,"@@")&gt;0,"@@","OK")</x:f>
        <x:v>OK</x:v>
      </x:c>
      <x:c r="AP31" s="44"/>
      <x:c r="AQ31" s="458">
        <x:f>SUBTOTAL(9,AQ32:AQ34)</x:f>
        <x:v>0</x:v>
      </x:c>
      <x:c r="AR31" s="458">
        <x:f>SUBTOTAL(9,AR32:AR34)</x:f>
        <x:v>0</x:v>
      </x:c>
      <x:c r="AS31" s="556" t="str">
        <x:f>IF(COUNTIF(AS32:AS34,"@@")&gt;0,"@@","OK")</x:f>
        <x:v>OK</x:v>
      </x:c>
    </x:row>
    <x:row r="32" spans="1:45" s="20" customFormat="1" ht="80.099999999999994" customHeight="1">
      <x:c r="A32" s="155" t="str">
        <x:f>IF(D32="","",COUNTA($C$7:C32)-COUNTBLANK($C$7:C32)+7)</x:f>
        <x:v/>
      </x:c>
      <x:c r="B32" s="156" t="str">
        <x: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x:f>
        <x:v/>
      </x:c>
      <x:c r="C32" s="156" t="str">
        <x:f>IF(D32="","",IF(OR(D32="교육지원과",D32="총무과",D32="인사과"),"직접입력",VLOOKUP(D32,구분표!$A$3:$C$258,3,)))</x:f>
        <x:v/>
      </x:c>
      <x:c r="D32" s="226"/>
      <x:c r="E32" s="213"/>
      <x:c r="F32" s="388" t="str">
        <x:f>IF($E32="","",IF($E32="2추","직접입력","-"))</x:f>
        <x:v/>
      </x:c>
      <x:c r="G32" s="388" t="str">
        <x:f>IF($E32="","",IF($E32="2추","직접입력","-"))</x:f>
        <x:v/>
      </x:c>
      <x:c r="H32" s="214"/>
      <x:c r="I32" s="237" t="str">
        <x:f>IF(H32="","",VLOOKUP($H32,구분표!$O$3:$P$168,2,FALSE))</x:f>
        <x:v/>
      </x:c>
      <x:c r="J32" s="215"/>
      <x:c r="K32" s="459" t="str">
        <x:f>IF($E32="","",IF(OR($E32="2추",$E32="1추",$E32="본예산"),"금액입력","-"))</x:f>
        <x:v/>
      </x:c>
      <x:c r="L32" s="459" t="str">
        <x:f>IF($E32="","",IF($E32="2추","금액입력","-"))</x:f>
        <x:v/>
      </x:c>
      <x:c r="M32" s="461" t="str">
        <x:f t="shared" ref="M32:M34" si="115">IF($E32="","",SUM(K32:L32))</x:f>
        <x:v/>
      </x:c>
      <x:c r="N32" s="460"/>
      <x:c r="O32" s="461">
        <x:f t="shared" ref="O32:O34" si="116">SUM(M32:N32)</x:f>
        <x:v>0</x:v>
      </x:c>
      <x:c r="P32" s="462"/>
      <x:c r="Q32" s="463">
        <x:f t="shared" ref="Q32:Q34" si="117">SUM(M32,P32)</x:f>
        <x:v>0</x:v>
      </x:c>
      <x:c r="R32" s="162" t="str">
        <x:f t="shared" ref="R32:R34" si="118">IF(AND((O32=0),(Q32&gt;0)),"O",IF(AND((N32&lt;0),(O32-Q32&lt;0)),"O","X"))</x:f>
        <x:v>X</x:v>
      </x:c>
      <x:c r="S32" s="230"/>
      <x:c r="T32" s="225"/>
      <x:c r="U32" s="217"/>
      <x:c r="V32" s="203"/>
      <x:c r="W32" s="162" t="str">
        <x:f t="shared" ref="W32:W34" si="119">IF($H32="","",IF(OR($H32="511-01",$H32="511-02",$H32="511-03",$H32="311-02",$H32="311-04",$H32="321-01"),"국도비","도비"))</x:f>
        <x:v/>
      </x:c>
      <x:c r="X32" s="217"/>
      <x:c r="Y32" s="45"/>
      <x:c r="Z32" s="508" t="str">
        <x:f t="shared" ref="Z32:Z34" si="120">IF($W32="","",IF($W32="국도비",$N32,0))</x:f>
        <x:v/>
      </x:c>
      <x:c r="AA32" s="508" t="str">
        <x:f t="shared" ref="AA32:AA34" si="121">IF($W32="","",IF($W32="도비",$N32,0))</x:f>
        <x:v/>
      </x:c>
      <x:c r="AB32" s="374" t="str">
        <x:f t="shared" ref="AB32:AB34" si="122">IF($W32="","",IF($N32=SUM($Z32:$AA32),"OK","@@"))</x:f>
        <x:v/>
      </x:c>
      <x:c r="AC32" s="46"/>
      <x:c r="AD32" s="508" t="str">
        <x:f t="shared" ref="AD32:AD34" si="123">IF($W32="","",IF($W32="국도비",$P32,0))</x:f>
        <x:v/>
      </x:c>
      <x:c r="AE32" s="508" t="str">
        <x:f t="shared" ref="AE32:AE34" si="124">IF($W32="","",IF($W32="도비",$P32,0))</x:f>
        <x:v/>
      </x:c>
      <x:c r="AF32" s="374" t="str">
        <x:f t="shared" ref="AF32:AF34" si="125">IF($W32="","",IF($P32=SUM($AD32:$AE32),"OK","@@"))</x:f>
        <x:v/>
      </x:c>
      <x:c r="AG32" s="46"/>
      <x:c r="AH32" s="374" t="str">
        <x:f>IF(AK32="","",IF($W32="도비","-",CONCATENATE(AK32,"-",COUNTIF(AK$7:$AK32,AK32))))</x:f>
        <x:v/>
      </x:c>
      <x:c r="AI32" s="374" t="str">
        <x:f t="shared" ref="AI32:AI34" si="126">IF($H32="","",IF($H32="511-01","국비",IF($H32="511-02","균특",IF($H32="511-03","기금",IF($H32="311-02","특교",IF($H32="311-04","소교",IF($H32="321-01","소멸","도비")))))))</x:f>
        <x:v/>
      </x:c>
      <x:c r="AJ32" s="46"/>
      <x:c r="AK32" s="374" t="str">
        <x:f t="array" ref="AK32:AK32">IF(OR($D32="",$C32="직접입력",$B32="직접입력"),"",INDEX(구분표!$I$2:$I$337,MATCH(1,(구분표!$G$2:$G$337='5. 기입'!$B32)*(구분표!$E$2:$E$337='5. 기입'!$C32)*(구분표!$F$2:$F$337='5. 기입'!$D32),0)))</x:f>
        <x:v/>
      </x:c>
      <x:c r="AL32" s="47"/>
      <x:c r="AM32" s="472" t="str">
        <x:f>IF($AH32="","",IF($AH32="-",0,SUMIFS('5. 기출'!$AB$7:$AB$2012,'5. 기출'!$AJ$7:$AJ$2012,$AH32)))</x:f>
        <x:v/>
      </x:c>
      <x:c r="AN32" s="377" t="str">
        <x:f>IF($AH32="","",IF($AH32="-",0,COUNTIF('5. 기출'!$AJ$7:$AJ$2012,$AH32)))</x:f>
        <x:v/>
      </x:c>
      <x:c r="AO32" s="374" t="str">
        <x:f t="shared" ref="AO32:AO34" si="127">IF($AH32="","",IF($Z32=$AM32,"OK","@@"))</x:f>
        <x:v/>
      </x:c>
      <x:c r="AP32" s="47"/>
      <x:c r="AQ32" s="472" t="str">
        <x:f>IF($AH32="","",IF($AH32="-",0,SUMIFS('5. 기출'!$AF$7:$AF$2012,'5. 기출'!$AJ$7:$AJ$2012,$AH32)))</x:f>
        <x:v/>
      </x:c>
      <x:c r="AR32" s="377" t="str">
        <x:f>IF($AH32="","",IF($AH32="-",0,COUNTIF('5. 기출'!$AJ$7:$AJ$2012,$AH32)))</x:f>
        <x:v/>
      </x:c>
      <x:c r="AS32" s="374" t="str">
        <x:f t="shared" ref="AS32:AS34" si="128">IF($AH32="","",IF($AD32=$AQ32,"OK","@@"))</x:f>
        <x:v/>
      </x:c>
    </x:row>
    <x:row r="33" spans="1:45" s="20" customFormat="1" ht="80.099999999999994" customHeight="1">
      <x:c r="A33" s="155" t="str">
        <x:f>IF(D33="","",COUNTA($C$7:C33)-COUNTBLANK($C$7:C33)+7)</x:f>
        <x:v/>
      </x:c>
      <x:c r="B33" s="156" t="str">
        <x: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x:f>
        <x:v/>
      </x:c>
      <x:c r="C33" s="156" t="str">
        <x:f>IF(D33="","",IF(OR(D33="교육지원과",D33="총무과",D33="인사과"),"직접입력",VLOOKUP(D33,구분표!$A$3:$C$258,3,)))</x:f>
        <x:v/>
      </x:c>
      <x:c r="D33" s="226"/>
      <x:c r="E33" s="213"/>
      <x:c r="F33" s="388" t="str">
        <x:f t="shared" ref="F33:G34" si="129">IF($E33="","",IF($E33="2추","직접입력","-"))</x:f>
        <x:v/>
      </x:c>
      <x:c r="G33" s="388" t="str">
        <x:f t="shared" si="129"/>
        <x:v/>
      </x:c>
      <x:c r="H33" s="214"/>
      <x:c r="I33" s="237" t="str">
        <x:f>IF(H33="","",VLOOKUP($H33,구분표!$O$3:$P$168,2,FALSE))</x:f>
        <x:v/>
      </x:c>
      <x:c r="J33" s="215"/>
      <x:c r="K33" s="459" t="str">
        <x:f t="shared" ref="K33:K34" si="130">IF($E33="","",IF(OR($E33="2추",$E33="1추",$E33="본예산"),"금액입력","-"))</x:f>
        <x:v/>
      </x:c>
      <x:c r="L33" s="459" t="str">
        <x:f t="shared" ref="L33:L34" si="131">IF($E33="","",IF($E33="2추","금액입력","-"))</x:f>
        <x:v/>
      </x:c>
      <x:c r="M33" s="461" t="str">
        <x:f t="shared" si="115"/>
        <x:v/>
      </x:c>
      <x:c r="N33" s="460"/>
      <x:c r="O33" s="461">
        <x:f t="shared" si="116"/>
        <x:v>0</x:v>
      </x:c>
      <x:c r="P33" s="462"/>
      <x:c r="Q33" s="463">
        <x:f t="shared" si="117"/>
        <x:v>0</x:v>
      </x:c>
      <x:c r="R33" s="162" t="str">
        <x:f t="shared" si="118"/>
        <x:v>X</x:v>
      </x:c>
      <x:c r="S33" s="230"/>
      <x:c r="T33" s="225"/>
      <x:c r="U33" s="217"/>
      <x:c r="V33" s="203"/>
      <x:c r="W33" s="162" t="str">
        <x:f t="shared" si="119"/>
        <x:v/>
      </x:c>
      <x:c r="X33" s="217"/>
      <x:c r="Y33" s="45"/>
      <x:c r="Z33" s="508" t="str">
        <x:f t="shared" si="120"/>
        <x:v/>
      </x:c>
      <x:c r="AA33" s="508" t="str">
        <x:f t="shared" si="121"/>
        <x:v/>
      </x:c>
      <x:c r="AB33" s="374" t="str">
        <x:f t="shared" si="122"/>
        <x:v/>
      </x:c>
      <x:c r="AC33" s="46"/>
      <x:c r="AD33" s="508" t="str">
        <x:f t="shared" si="123"/>
        <x:v/>
      </x:c>
      <x:c r="AE33" s="508" t="str">
        <x:f t="shared" si="124"/>
        <x:v/>
      </x:c>
      <x:c r="AF33" s="374" t="str">
        <x:f t="shared" si="125"/>
        <x:v/>
      </x:c>
      <x:c r="AG33" s="46"/>
      <x:c r="AH33" s="374" t="str">
        <x:f>IF(AK33="","",IF($W33="도비","-",CONCATENATE(AK33,"-",COUNTIF(AK$7:$AK33,AK33))))</x:f>
        <x:v/>
      </x:c>
      <x:c r="AI33" s="374" t="str">
        <x:f t="shared" si="126"/>
        <x:v/>
      </x:c>
      <x:c r="AJ33" s="46"/>
      <x:c r="AK33" s="374" t="str">
        <x:f t="array" ref="AK33:AK33">IF(OR($D33="",$C33="직접입력",$B33="직접입력"),"",INDEX(구분표!$I$2:$I$337,MATCH(1,(구분표!$G$2:$G$337='5. 기입'!$B33)*(구분표!$E$2:$E$337='5. 기입'!$C33)*(구분표!$F$2:$F$337='5. 기입'!$D33),0)))</x:f>
        <x:v/>
      </x:c>
      <x:c r="AL33" s="47"/>
      <x:c r="AM33" s="472" t="str">
        <x:f>IF($AH33="","",IF($AH33="-",0,SUMIFS('5. 기출'!$AB$7:$AB$2012,'5. 기출'!$AJ$7:$AJ$2012,$AH33)))</x:f>
        <x:v/>
      </x:c>
      <x:c r="AN33" s="377" t="str">
        <x:f>IF($AH33="","",IF($AH33="-",0,COUNTIF('5. 기출'!$AJ$7:$AJ$2012,$AH33)))</x:f>
        <x:v/>
      </x:c>
      <x:c r="AO33" s="374" t="str">
        <x:f t="shared" si="127"/>
        <x:v/>
      </x:c>
      <x:c r="AP33" s="47"/>
      <x:c r="AQ33" s="472" t="str">
        <x:f>IF($AH33="","",IF($AH33="-",0,SUMIFS('5. 기출'!$AF$7:$AF$2012,'5. 기출'!$AJ$7:$AJ$2012,$AH33)))</x:f>
        <x:v/>
      </x:c>
      <x:c r="AR33" s="377" t="str">
        <x:f>IF($AH33="","",IF($AH33="-",0,COUNTIF('5. 기출'!$AJ$7:$AJ$2012,$AH33)))</x:f>
        <x:v/>
      </x:c>
      <x:c r="AS33" s="374" t="str">
        <x:f t="shared" si="128"/>
        <x:v/>
      </x:c>
    </x:row>
    <x:row r="34" spans="1:45" s="20" customFormat="1" ht="80.099999999999994" customHeight="1">
      <x:c r="A34" s="155" t="str">
        <x:f>IF(D34="","",COUNTA($C$7:C34)-COUNTBLANK($C$7:C34)+7)</x:f>
        <x:v/>
      </x:c>
      <x:c r="B34" s="156" t="str">
        <x: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x:f>
        <x:v/>
      </x:c>
      <x:c r="C34" s="156" t="str">
        <x:f>IF(D34="","",IF(OR(D34="교육지원과",D34="총무과",D34="인사과"),"직접입력",VLOOKUP(D34,구분표!$A$3:$C$258,3,)))</x:f>
        <x:v/>
      </x:c>
      <x:c r="D34" s="226"/>
      <x:c r="E34" s="213"/>
      <x:c r="F34" s="388" t="str">
        <x:f t="shared" si="129"/>
        <x:v/>
      </x:c>
      <x:c r="G34" s="388" t="str">
        <x:f t="shared" si="129"/>
        <x:v/>
      </x:c>
      <x:c r="H34" s="214"/>
      <x:c r="I34" s="237" t="str">
        <x:f>IF(H34="","",VLOOKUP($H34,구분표!$O$3:$P$168,2,FALSE))</x:f>
        <x:v/>
      </x:c>
      <x:c r="J34" s="215"/>
      <x:c r="K34" s="459" t="str">
        <x:f t="shared" si="130"/>
        <x:v/>
      </x:c>
      <x:c r="L34" s="459" t="str">
        <x:f t="shared" si="131"/>
        <x:v/>
      </x:c>
      <x:c r="M34" s="461" t="str">
        <x:f t="shared" si="115"/>
        <x:v/>
      </x:c>
      <x:c r="N34" s="460"/>
      <x:c r="O34" s="461">
        <x:f t="shared" si="116"/>
        <x:v>0</x:v>
      </x:c>
      <x:c r="P34" s="462"/>
      <x:c r="Q34" s="463">
        <x:f t="shared" si="117"/>
        <x:v>0</x:v>
      </x:c>
      <x:c r="R34" s="162" t="str">
        <x:f t="shared" si="118"/>
        <x:v>X</x:v>
      </x:c>
      <x:c r="S34" s="230"/>
      <x:c r="T34" s="225"/>
      <x:c r="U34" s="217"/>
      <x:c r="V34" s="203"/>
      <x:c r="W34" s="162" t="str">
        <x:f t="shared" si="119"/>
        <x:v/>
      </x:c>
      <x:c r="X34" s="217"/>
      <x:c r="Y34" s="45"/>
      <x:c r="Z34" s="508" t="str">
        <x:f t="shared" si="120"/>
        <x:v/>
      </x:c>
      <x:c r="AA34" s="508" t="str">
        <x:f t="shared" si="121"/>
        <x:v/>
      </x:c>
      <x:c r="AB34" s="374" t="str">
        <x:f t="shared" si="122"/>
        <x:v/>
      </x:c>
      <x:c r="AC34" s="46"/>
      <x:c r="AD34" s="508" t="str">
        <x:f t="shared" si="123"/>
        <x:v/>
      </x:c>
      <x:c r="AE34" s="508" t="str">
        <x:f t="shared" si="124"/>
        <x:v/>
      </x:c>
      <x:c r="AF34" s="374" t="str">
        <x:f t="shared" si="125"/>
        <x:v/>
      </x:c>
      <x:c r="AG34" s="46"/>
      <x:c r="AH34" s="374" t="str">
        <x:f>IF(AK34="","",IF($W34="도비","-",CONCATENATE(AK34,"-",COUNTIF(AK$7:$AK34,AK34))))</x:f>
        <x:v/>
      </x:c>
      <x:c r="AI34" s="374" t="str">
        <x:f t="shared" si="126"/>
        <x:v/>
      </x:c>
      <x:c r="AJ34" s="46"/>
      <x:c r="AK34" s="374" t="str">
        <x:f t="array" ref="AK34:AK34">IF(OR($D34="",$C34="직접입력",$B34="직접입력"),"",INDEX(구분표!$I$2:$I$337,MATCH(1,(구분표!$G$2:$G$337='5. 기입'!$B34)*(구분표!$E$2:$E$337='5. 기입'!$C34)*(구분표!$F$2:$F$337='5. 기입'!$D34),0)))</x:f>
        <x:v/>
      </x:c>
      <x:c r="AL34" s="47"/>
      <x:c r="AM34" s="472" t="str">
        <x:f>IF($AH34="","",IF($AH34="-",0,SUMIFS('5. 기출'!$AB$7:$AB$2012,'5. 기출'!$AJ$7:$AJ$2012,$AH34)))</x:f>
        <x:v/>
      </x:c>
      <x:c r="AN34" s="377" t="str">
        <x:f>IF($AH34="","",IF($AH34="-",0,COUNTIF('5. 기출'!$AJ$7:$AJ$2012,$AH34)))</x:f>
        <x:v/>
      </x:c>
      <x:c r="AO34" s="374" t="str">
        <x:f t="shared" si="127"/>
        <x:v/>
      </x:c>
      <x:c r="AP34" s="47"/>
      <x:c r="AQ34" s="472" t="str">
        <x:f>IF($AH34="","",IF($AH34="-",0,SUMIFS('5. 기출'!$AF$7:$AF$2012,'5. 기출'!$AJ$7:$AJ$2012,$AH34)))</x:f>
        <x:v/>
      </x:c>
      <x:c r="AR34" s="377" t="str">
        <x:f>IF($AH34="","",IF($AH34="-",0,COUNTIF('5. 기출'!$AJ$7:$AJ$2012,$AH34)))</x:f>
        <x:v/>
      </x:c>
      <x:c r="AS34" s="374" t="str">
        <x:f t="shared" si="128"/>
        <x:v/>
      </x:c>
    </x:row>
    <x:row r="35" spans="1:45" ht="60" customHeight="1">
      <x:c r="A35" s="171"/>
      <x:c r="B35" s="888" t="s">
        <x:v>872</x:v>
      </x:c>
      <x:c r="C35" s="888"/>
      <x:c r="D35" s="888"/>
      <x:c r="E35" s="888"/>
      <x:c r="F35" s="888"/>
      <x:c r="G35" s="888"/>
      <x:c r="H35" s="79"/>
      <x:c r="I35" s="79"/>
      <x:c r="J35" s="349" t="str">
        <x:f>SUBTOTAL(3,J36:J38)&amp;"건"</x:f>
        <x:v>0건</x:v>
      </x:c>
      <x:c r="K35" s="458">
        <x:f t="shared" ref="K35:Q35" si="132">SUBTOTAL(9,K36:K38)</x:f>
        <x:v>0</x:v>
      </x:c>
      <x:c r="L35" s="458">
        <x:f t="shared" si="132"/>
        <x:v>0</x:v>
      </x:c>
      <x:c r="M35" s="458">
        <x:f t="shared" si="132"/>
        <x:v>0</x:v>
      </x:c>
      <x:c r="N35" s="458">
        <x:f t="shared" si="132"/>
        <x:v>0</x:v>
      </x:c>
      <x:c r="O35" s="458">
        <x:f t="shared" si="132"/>
        <x:v>0</x:v>
      </x:c>
      <x:c r="P35" s="458">
        <x:f t="shared" si="132"/>
        <x:v>0</x:v>
      </x:c>
      <x:c r="Q35" s="458">
        <x:f t="shared" si="132"/>
        <x:v>0</x:v>
      </x:c>
      <x:c r="R35" s="78"/>
      <x:c r="S35" s="78"/>
      <x:c r="T35" s="78"/>
      <x:c r="U35" s="78"/>
      <x:c r="V35" s="78"/>
      <x:c r="W35" s="80"/>
      <x:c r="X35" s="80"/>
      <x:c r="Y35" s="43"/>
      <x:c r="Z35" s="458">
        <x:f>SUBTOTAL(9,Z36:Z38)</x:f>
        <x:v>0</x:v>
      </x:c>
      <x:c r="AA35" s="458">
        <x:f>SUBTOTAL(9,AA36:AA38)</x:f>
        <x:v>0</x:v>
      </x:c>
      <x:c r="AB35" s="556" t="str">
        <x:f>IF(COUNTIF(AB36:AB38,"@@")&gt;0,"@@","OK")</x:f>
        <x:v>OK</x:v>
      </x:c>
      <x:c r="AC35" s="44"/>
      <x:c r="AD35" s="458">
        <x:f>SUBTOTAL(9,AD36:AD38)</x:f>
        <x:v>0</x:v>
      </x:c>
      <x:c r="AE35" s="458">
        <x:f>SUBTOTAL(9,AE36:AE38)</x:f>
        <x:v>0</x:v>
      </x:c>
      <x:c r="AF35" s="556" t="str">
        <x:f>IF(COUNTIF(AF36:AF38,"@@")&gt;0,"@@","OK")</x:f>
        <x:v>OK</x:v>
      </x:c>
      <x:c r="AG35" s="44"/>
      <x:c r="AH35" s="171"/>
      <x:c r="AI35" s="171"/>
      <x:c r="AJ35" s="44"/>
      <x:c r="AK35" s="171"/>
      <x:c r="AL35" s="44"/>
      <x:c r="AM35" s="458">
        <x:f>SUBTOTAL(9,AM36:AM38)</x:f>
        <x:v>0</x:v>
      </x:c>
      <x:c r="AN35" s="458">
        <x:f>SUBTOTAL(9,AN36:AN38)</x:f>
        <x:v>0</x:v>
      </x:c>
      <x:c r="AO35" s="556" t="str">
        <x:f>IF(COUNTIF(AO36:AO38,"@@")&gt;0,"@@","OK")</x:f>
        <x:v>OK</x:v>
      </x:c>
      <x:c r="AP35" s="44"/>
      <x:c r="AQ35" s="458">
        <x:f>SUBTOTAL(9,AQ36:AQ38)</x:f>
        <x:v>0</x:v>
      </x:c>
      <x:c r="AR35" s="458">
        <x:f>SUBTOTAL(9,AR36:AR38)</x:f>
        <x:v>0</x:v>
      </x:c>
      <x:c r="AS35" s="556" t="str">
        <x:f>IF(COUNTIF(AS36:AS38,"@@")&gt;0,"@@","OK")</x:f>
        <x:v>OK</x:v>
      </x:c>
    </x:row>
    <x:row r="36" spans="1:45" s="20" customFormat="1" ht="80.099999999999994" customHeight="1">
      <x:c r="A36" s="155" t="str">
        <x:f>IF(D36="","",COUNTA($C$7:C36)-COUNTBLANK($C$7:C36)+8)</x:f>
        <x:v/>
      </x:c>
      <x:c r="B36" s="156" t="str">
        <x: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x:f>
        <x:v/>
      </x:c>
      <x:c r="C36" s="156" t="str">
        <x:f>IF(D36="","",IF(OR(D36="교육지원과",D36="총무과",D36="인사과"),"직접입력",VLOOKUP(D36,구분표!$A$3:$C$258,3,)))</x:f>
        <x:v/>
      </x:c>
      <x:c r="D36" s="226"/>
      <x:c r="E36" s="213"/>
      <x:c r="F36" s="388" t="str">
        <x:f>IF($E36="","",IF($E36="2추","직접입력","-"))</x:f>
        <x:v/>
      </x:c>
      <x:c r="G36" s="388" t="str">
        <x:f>IF($E36="","",IF($E36="2추","직접입력","-"))</x:f>
        <x:v/>
      </x:c>
      <x:c r="H36" s="214"/>
      <x:c r="I36" s="237" t="str">
        <x:f>IF(H36="","",VLOOKUP($H36,구분표!$O$3:$P$168,2,FALSE))</x:f>
        <x:v/>
      </x:c>
      <x:c r="J36" s="215"/>
      <x:c r="K36" s="459" t="str">
        <x:f>IF($E36="","",IF(OR($E36="2추",$E36="1추",$E36="본예산"),"금액입력","-"))</x:f>
        <x:v/>
      </x:c>
      <x:c r="L36" s="459" t="str">
        <x:f>IF($E36="","",IF($E36="2추","금액입력","-"))</x:f>
        <x:v/>
      </x:c>
      <x:c r="M36" s="461" t="str">
        <x:f t="shared" ref="M36:M38" si="133">IF($E36="","",SUM(K36:L36))</x:f>
        <x:v/>
      </x:c>
      <x:c r="N36" s="460"/>
      <x:c r="O36" s="461">
        <x:f t="shared" ref="O36:O38" si="134">SUM(M36:N36)</x:f>
        <x:v>0</x:v>
      </x:c>
      <x:c r="P36" s="462"/>
      <x:c r="Q36" s="463">
        <x:f t="shared" ref="Q36:Q38" si="135">SUM(M36,P36)</x:f>
        <x:v>0</x:v>
      </x:c>
      <x:c r="R36" s="162" t="str">
        <x:f t="shared" ref="R36:R38" si="136">IF(AND((O36=0),(Q36&gt;0)),"O",IF(AND((N36&lt;0),(O36-Q36&lt;0)),"O","X"))</x:f>
        <x:v>X</x:v>
      </x:c>
      <x:c r="S36" s="230"/>
      <x:c r="T36" s="225"/>
      <x:c r="U36" s="217"/>
      <x:c r="V36" s="203"/>
      <x:c r="W36" s="162" t="str">
        <x:f t="shared" ref="W36:W38" si="137">IF($H36="","",IF(OR($H36="511-01",$H36="511-02",$H36="511-03",$H36="311-02",$H36="311-04",$H36="321-01"),"국도비","도비"))</x:f>
        <x:v/>
      </x:c>
      <x:c r="X36" s="217"/>
      <x:c r="Y36" s="45"/>
      <x:c r="Z36" s="508" t="str">
        <x:f t="shared" ref="Z36:Z38" si="138">IF($W36="","",IF($W36="국도비",$N36,0))</x:f>
        <x:v/>
      </x:c>
      <x:c r="AA36" s="508" t="str">
        <x:f t="shared" ref="AA36:AA38" si="139">IF($W36="","",IF($W36="도비",$N36,0))</x:f>
        <x:v/>
      </x:c>
      <x:c r="AB36" s="374" t="str">
        <x:f t="shared" ref="AB36:AB38" si="140">IF($W36="","",IF($N36=SUM($Z36:$AA36),"OK","@@"))</x:f>
        <x:v/>
      </x:c>
      <x:c r="AC36" s="46"/>
      <x:c r="AD36" s="508" t="str">
        <x:f t="shared" ref="AD36:AD38" si="141">IF($W36="","",IF($W36="국도비",$P36,0))</x:f>
        <x:v/>
      </x:c>
      <x:c r="AE36" s="508" t="str">
        <x:f t="shared" ref="AE36:AE38" si="142">IF($W36="","",IF($W36="도비",$P36,0))</x:f>
        <x:v/>
      </x:c>
      <x:c r="AF36" s="374" t="str">
        <x:f t="shared" ref="AF36:AF38" si="143">IF($W36="","",IF($P36=SUM($AD36:$AE36),"OK","@@"))</x:f>
        <x:v/>
      </x:c>
      <x:c r="AG36" s="46"/>
      <x:c r="AH36" s="374" t="str">
        <x:f>IF(AK36="","",IF($W36="도비","-",CONCATENATE(AK36,"-",COUNTIF(AK$7:$AK36,AK36))))</x:f>
        <x:v/>
      </x:c>
      <x:c r="AI36" s="374" t="str">
        <x:f t="shared" ref="AI36:AI38" si="144">IF($H36="","",IF($H36="511-01","국비",IF($H36="511-02","균특",IF($H36="511-03","기금",IF($H36="311-02","특교",IF($H36="311-04","소교",IF($H36="321-01","소멸","도비")))))))</x:f>
        <x:v/>
      </x:c>
      <x:c r="AJ36" s="46"/>
      <x:c r="AK36" s="374" t="str">
        <x:f t="array" ref="AK36:AK36">IF(OR($D36="",$C36="직접입력",$B36="직접입력"),"",INDEX(구분표!$I$2:$I$337,MATCH(1,(구분표!$G$2:$G$337='5. 기입'!$B36)*(구분표!$E$2:$E$337='5. 기입'!$C36)*(구분표!$F$2:$F$337='5. 기입'!$D36),0)))</x:f>
        <x:v/>
      </x:c>
      <x:c r="AL36" s="47"/>
      <x:c r="AM36" s="472" t="str">
        <x:f>IF($AH36="","",IF($AH36="-",0,SUMIFS('5. 기출'!$AB$7:$AB$2012,'5. 기출'!$AJ$7:$AJ$2012,$AH36)))</x:f>
        <x:v/>
      </x:c>
      <x:c r="AN36" s="377" t="str">
        <x:f>IF($AH36="","",IF($AH36="-",0,COUNTIF('5. 기출'!$AJ$7:$AJ$2012,$AH36)))</x:f>
        <x:v/>
      </x:c>
      <x:c r="AO36" s="374" t="str">
        <x:f t="shared" ref="AO36:AO38" si="145">IF($AH36="","",IF($Z36=$AM36,"OK","@@"))</x:f>
        <x:v/>
      </x:c>
      <x:c r="AP36" s="47"/>
      <x:c r="AQ36" s="472" t="str">
        <x:f>IF($AH36="","",IF($AH36="-",0,SUMIFS('5. 기출'!$AF$7:$AF$2012,'5. 기출'!$AJ$7:$AJ$2012,$AH36)))</x:f>
        <x:v/>
      </x:c>
      <x:c r="AR36" s="377" t="str">
        <x:f>IF($AH36="","",IF($AH36="-",0,COUNTIF('5. 기출'!$AJ$7:$AJ$2012,$AH36)))</x:f>
        <x:v/>
      </x:c>
      <x:c r="AS36" s="374" t="str">
        <x:f t="shared" ref="AS36:AS38" si="146">IF($AH36="","",IF($AD36=$AQ36,"OK","@@"))</x:f>
        <x:v/>
      </x:c>
    </x:row>
    <x:row r="37" spans="1:45" s="20" customFormat="1" ht="80.099999999999994" customHeight="1">
      <x:c r="A37" s="155" t="str">
        <x:f>IF(D37="","",COUNTA($C$7:C37)-COUNTBLANK($C$7:C37)+8)</x:f>
        <x:v/>
      </x:c>
      <x:c r="B37" s="156" t="str">
        <x: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x:f>
        <x:v/>
      </x:c>
      <x:c r="C37" s="156" t="str">
        <x:f>IF(D37="","",IF(OR(D37="교육지원과",D37="총무과",D37="인사과"),"직접입력",VLOOKUP(D37,구분표!$A$3:$C$258,3,)))</x:f>
        <x:v/>
      </x:c>
      <x:c r="D37" s="226"/>
      <x:c r="E37" s="213"/>
      <x:c r="F37" s="388" t="str">
        <x:f t="shared" ref="F37:G38" si="147">IF($E37="","",IF($E37="2추","직접입력","-"))</x:f>
        <x:v/>
      </x:c>
      <x:c r="G37" s="388" t="str">
        <x:f t="shared" si="147"/>
        <x:v/>
      </x:c>
      <x:c r="H37" s="214"/>
      <x:c r="I37" s="237" t="str">
        <x:f>IF(H37="","",VLOOKUP($H37,구분표!$O$3:$P$168,2,FALSE))</x:f>
        <x:v/>
      </x:c>
      <x:c r="J37" s="215"/>
      <x:c r="K37" s="459" t="str">
        <x:f t="shared" ref="K37:K38" si="148">IF($E37="","",IF(OR($E37="2추",$E37="1추",$E37="본예산"),"금액입력","-"))</x:f>
        <x:v/>
      </x:c>
      <x:c r="L37" s="459" t="str">
        <x:f t="shared" ref="L37:L38" si="149">IF($E37="","",IF($E37="2추","금액입력","-"))</x:f>
        <x:v/>
      </x:c>
      <x:c r="M37" s="461" t="str">
        <x:f t="shared" si="133"/>
        <x:v/>
      </x:c>
      <x:c r="N37" s="460"/>
      <x:c r="O37" s="461">
        <x:f t="shared" si="134"/>
        <x:v>0</x:v>
      </x:c>
      <x:c r="P37" s="462"/>
      <x:c r="Q37" s="463">
        <x:f t="shared" si="135"/>
        <x:v>0</x:v>
      </x:c>
      <x:c r="R37" s="162" t="str">
        <x:f t="shared" si="136"/>
        <x:v>X</x:v>
      </x:c>
      <x:c r="S37" s="230"/>
      <x:c r="T37" s="225"/>
      <x:c r="U37" s="217"/>
      <x:c r="V37" s="203"/>
      <x:c r="W37" s="162" t="str">
        <x:f t="shared" si="137"/>
        <x:v/>
      </x:c>
      <x:c r="X37" s="217"/>
      <x:c r="Y37" s="45"/>
      <x:c r="Z37" s="508" t="str">
        <x:f t="shared" si="138"/>
        <x:v/>
      </x:c>
      <x:c r="AA37" s="508" t="str">
        <x:f t="shared" si="139"/>
        <x:v/>
      </x:c>
      <x:c r="AB37" s="374" t="str">
        <x:f t="shared" si="140"/>
        <x:v/>
      </x:c>
      <x:c r="AC37" s="46"/>
      <x:c r="AD37" s="508" t="str">
        <x:f t="shared" si="141"/>
        <x:v/>
      </x:c>
      <x:c r="AE37" s="508" t="str">
        <x:f t="shared" si="142"/>
        <x:v/>
      </x:c>
      <x:c r="AF37" s="374" t="str">
        <x:f t="shared" si="143"/>
        <x:v/>
      </x:c>
      <x:c r="AG37" s="46"/>
      <x:c r="AH37" s="374" t="str">
        <x:f>IF(AK37="","",IF($W37="도비","-",CONCATENATE(AK37,"-",COUNTIF(AK$7:$AK37,AK37))))</x:f>
        <x:v/>
      </x:c>
      <x:c r="AI37" s="374" t="str">
        <x:f t="shared" si="144"/>
        <x:v/>
      </x:c>
      <x:c r="AJ37" s="46"/>
      <x:c r="AK37" s="374" t="str">
        <x:f t="array" ref="AK37:AK37">IF(OR($D37="",$C37="직접입력",$B37="직접입력"),"",INDEX(구분표!$I$2:$I$337,MATCH(1,(구분표!$G$2:$G$337='5. 기입'!$B37)*(구분표!$E$2:$E$337='5. 기입'!$C37)*(구분표!$F$2:$F$337='5. 기입'!$D37),0)))</x:f>
        <x:v/>
      </x:c>
      <x:c r="AL37" s="47"/>
      <x:c r="AM37" s="472" t="str">
        <x:f>IF($AH37="","",IF($AH37="-",0,SUMIFS('5. 기출'!$AB$7:$AB$2012,'5. 기출'!$AJ$7:$AJ$2012,$AH37)))</x:f>
        <x:v/>
      </x:c>
      <x:c r="AN37" s="377" t="str">
        <x:f>IF($AH37="","",IF($AH37="-",0,COUNTIF('5. 기출'!$AJ$7:$AJ$2012,$AH37)))</x:f>
        <x:v/>
      </x:c>
      <x:c r="AO37" s="374" t="str">
        <x:f t="shared" si="145"/>
        <x:v/>
      </x:c>
      <x:c r="AP37" s="47"/>
      <x:c r="AQ37" s="472" t="str">
        <x:f>IF($AH37="","",IF($AH37="-",0,SUMIFS('5. 기출'!$AF$7:$AF$2012,'5. 기출'!$AJ$7:$AJ$2012,$AH37)))</x:f>
        <x:v/>
      </x:c>
      <x:c r="AR37" s="377" t="str">
        <x:f>IF($AH37="","",IF($AH37="-",0,COUNTIF('5. 기출'!$AJ$7:$AJ$2012,$AH37)))</x:f>
        <x:v/>
      </x:c>
      <x:c r="AS37" s="374" t="str">
        <x:f t="shared" si="146"/>
        <x:v/>
      </x:c>
    </x:row>
    <x:row r="38" spans="1:45" s="20" customFormat="1" ht="80.099999999999994" customHeight="1">
      <x:c r="A38" s="155" t="str">
        <x:f>IF(D38="","",COUNTA($C$7:C38)-COUNTBLANK($C$7:C38)+8)</x:f>
        <x:v/>
      </x:c>
      <x:c r="B38" s="156" t="str">
        <x: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x:f>
        <x:v/>
      </x:c>
      <x:c r="C38" s="156" t="str">
        <x:f>IF(D38="","",IF(OR(D38="교육지원과",D38="총무과",D38="인사과"),"직접입력",VLOOKUP(D38,구분표!$A$3:$C$258,3,)))</x:f>
        <x:v/>
      </x:c>
      <x:c r="D38" s="226"/>
      <x:c r="E38" s="213"/>
      <x:c r="F38" s="388" t="str">
        <x:f t="shared" si="147"/>
        <x:v/>
      </x:c>
      <x:c r="G38" s="388" t="str">
        <x:f t="shared" si="147"/>
        <x:v/>
      </x:c>
      <x:c r="H38" s="214"/>
      <x:c r="I38" s="237" t="str">
        <x:f>IF(H38="","",VLOOKUP($H38,구분표!$O$3:$P$168,2,FALSE))</x:f>
        <x:v/>
      </x:c>
      <x:c r="J38" s="215"/>
      <x:c r="K38" s="459" t="str">
        <x:f t="shared" si="148"/>
        <x:v/>
      </x:c>
      <x:c r="L38" s="459" t="str">
        <x:f t="shared" si="149"/>
        <x:v/>
      </x:c>
      <x:c r="M38" s="461" t="str">
        <x:f t="shared" si="133"/>
        <x:v/>
      </x:c>
      <x:c r="N38" s="460"/>
      <x:c r="O38" s="461">
        <x:f t="shared" si="134"/>
        <x:v>0</x:v>
      </x:c>
      <x:c r="P38" s="462"/>
      <x:c r="Q38" s="463">
        <x:f t="shared" si="135"/>
        <x:v>0</x:v>
      </x:c>
      <x:c r="R38" s="162" t="str">
        <x:f t="shared" si="136"/>
        <x:v>X</x:v>
      </x:c>
      <x:c r="S38" s="230"/>
      <x:c r="T38" s="225"/>
      <x:c r="U38" s="217"/>
      <x:c r="V38" s="203"/>
      <x:c r="W38" s="162" t="str">
        <x:f t="shared" si="137"/>
        <x:v/>
      </x:c>
      <x:c r="X38" s="217"/>
      <x:c r="Y38" s="45"/>
      <x:c r="Z38" s="508" t="str">
        <x:f t="shared" si="138"/>
        <x:v/>
      </x:c>
      <x:c r="AA38" s="508" t="str">
        <x:f t="shared" si="139"/>
        <x:v/>
      </x:c>
      <x:c r="AB38" s="374" t="str">
        <x:f t="shared" si="140"/>
        <x:v/>
      </x:c>
      <x:c r="AC38" s="46"/>
      <x:c r="AD38" s="508" t="str">
        <x:f t="shared" si="141"/>
        <x:v/>
      </x:c>
      <x:c r="AE38" s="508" t="str">
        <x:f t="shared" si="142"/>
        <x:v/>
      </x:c>
      <x:c r="AF38" s="374" t="str">
        <x:f t="shared" si="143"/>
        <x:v/>
      </x:c>
      <x:c r="AG38" s="46"/>
      <x:c r="AH38" s="374" t="str">
        <x:f>IF(AK38="","",IF($W38="도비","-",CONCATENATE(AK38,"-",COUNTIF(AK$7:$AK38,AK38))))</x:f>
        <x:v/>
      </x:c>
      <x:c r="AI38" s="374" t="str">
        <x:f t="shared" si="144"/>
        <x:v/>
      </x:c>
      <x:c r="AJ38" s="46"/>
      <x:c r="AK38" s="374" t="str">
        <x:f t="array" ref="AK38:AK38">IF(OR($D38="",$C38="직접입력",$B38="직접입력"),"",INDEX(구분표!$I$2:$I$337,MATCH(1,(구분표!$G$2:$G$337='5. 기입'!$B38)*(구분표!$E$2:$E$337='5. 기입'!$C38)*(구분표!$F$2:$F$337='5. 기입'!$D38),0)))</x:f>
        <x:v/>
      </x:c>
      <x:c r="AL38" s="47"/>
      <x:c r="AM38" s="472" t="str">
        <x:f>IF($AH38="","",IF($AH38="-",0,SUMIFS('5. 기출'!$AB$7:$AB$2012,'5. 기출'!$AJ$7:$AJ$2012,$AH38)))</x:f>
        <x:v/>
      </x:c>
      <x:c r="AN38" s="377" t="str">
        <x:f>IF($AH38="","",IF($AH38="-",0,COUNTIF('5. 기출'!$AJ$7:$AJ$2012,$AH38)))</x:f>
        <x:v/>
      </x:c>
      <x:c r="AO38" s="374" t="str">
        <x:f t="shared" si="145"/>
        <x:v/>
      </x:c>
      <x:c r="AP38" s="47"/>
      <x:c r="AQ38" s="472" t="str">
        <x:f>IF($AH38="","",IF($AH38="-",0,SUMIFS('5. 기출'!$AF$7:$AF$2012,'5. 기출'!$AJ$7:$AJ$2012,$AH38)))</x:f>
        <x:v/>
      </x:c>
      <x:c r="AR38" s="377" t="str">
        <x:f>IF($AH38="","",IF($AH38="-",0,COUNTIF('5. 기출'!$AJ$7:$AJ$2012,$AH38)))</x:f>
        <x:v/>
      </x:c>
      <x:c r="AS38" s="374" t="str">
        <x:f t="shared" si="146"/>
        <x:v/>
      </x:c>
    </x:row>
    <x:row r="39" spans="1:45" ht="60" customHeight="1">
      <x:c r="A39" s="171"/>
      <x:c r="B39" s="888" t="s">
        <x:v>1500</x:v>
      </x:c>
      <x:c r="C39" s="888"/>
      <x:c r="D39" s="888"/>
      <x:c r="E39" s="888"/>
      <x:c r="F39" s="888"/>
      <x:c r="G39" s="888"/>
      <x:c r="H39" s="79"/>
      <x:c r="I39" s="79"/>
      <x:c r="J39" s="349" t="str">
        <x:f>SUBTOTAL(3,J40:J42)&amp;"건"</x:f>
        <x:v>0건</x:v>
      </x:c>
      <x:c r="K39" s="458">
        <x:f t="shared" ref="K39:Q39" si="150">SUBTOTAL(9,K40:K42)</x:f>
        <x:v>0</x:v>
      </x:c>
      <x:c r="L39" s="458">
        <x:f t="shared" si="150"/>
        <x:v>0</x:v>
      </x:c>
      <x:c r="M39" s="458">
        <x:f t="shared" si="150"/>
        <x:v>0</x:v>
      </x:c>
      <x:c r="N39" s="458">
        <x:f t="shared" si="150"/>
        <x:v>0</x:v>
      </x:c>
      <x:c r="O39" s="458">
        <x:f t="shared" si="150"/>
        <x:v>0</x:v>
      </x:c>
      <x:c r="P39" s="458">
        <x:f t="shared" si="150"/>
        <x:v>0</x:v>
      </x:c>
      <x:c r="Q39" s="458">
        <x:f t="shared" si="150"/>
        <x:v>0</x:v>
      </x:c>
      <x:c r="R39" s="78"/>
      <x:c r="S39" s="78"/>
      <x:c r="T39" s="78"/>
      <x:c r="U39" s="78"/>
      <x:c r="V39" s="78"/>
      <x:c r="W39" s="80"/>
      <x:c r="X39" s="80"/>
      <x:c r="Y39" s="43"/>
      <x:c r="Z39" s="458">
        <x:f>SUBTOTAL(9,Z40:Z42)</x:f>
        <x:v>0</x:v>
      </x:c>
      <x:c r="AA39" s="458">
        <x:f>SUBTOTAL(9,AA40:AA42)</x:f>
        <x:v>0</x:v>
      </x:c>
      <x:c r="AB39" s="556" t="str">
        <x:f>IF(COUNTIF(AB40:AB42,"@@")&gt;0,"@@","OK")</x:f>
        <x:v>OK</x:v>
      </x:c>
      <x:c r="AC39" s="44"/>
      <x:c r="AD39" s="458">
        <x:f>SUBTOTAL(9,AD40:AD42)</x:f>
        <x:v>0</x:v>
      </x:c>
      <x:c r="AE39" s="458">
        <x:f>SUBTOTAL(9,AE40:AE42)</x:f>
        <x:v>0</x:v>
      </x:c>
      <x:c r="AF39" s="556" t="str">
        <x:f>IF(COUNTIF(AF40:AF42,"@@")&gt;0,"@@","OK")</x:f>
        <x:v>OK</x:v>
      </x:c>
      <x:c r="AG39" s="44"/>
      <x:c r="AH39" s="171"/>
      <x:c r="AI39" s="171"/>
      <x:c r="AJ39" s="44"/>
      <x:c r="AK39" s="171"/>
      <x:c r="AL39" s="44"/>
      <x:c r="AM39" s="458">
        <x:f>SUBTOTAL(9,AM40:AM42)</x:f>
        <x:v>0</x:v>
      </x:c>
      <x:c r="AN39" s="458">
        <x:f>SUBTOTAL(9,AN40:AN42)</x:f>
        <x:v>0</x:v>
      </x:c>
      <x:c r="AO39" s="556" t="str">
        <x:f>IF(COUNTIF(AO40:AO42,"@@")&gt;0,"@@","OK")</x:f>
        <x:v>OK</x:v>
      </x:c>
      <x:c r="AP39" s="44"/>
      <x:c r="AQ39" s="458">
        <x:f>SUBTOTAL(9,AQ40:AQ42)</x:f>
        <x:v>0</x:v>
      </x:c>
      <x:c r="AR39" s="458">
        <x:f>SUBTOTAL(9,AR40:AR42)</x:f>
        <x:v>0</x:v>
      </x:c>
      <x:c r="AS39" s="556" t="str">
        <x:f>IF(COUNTIF(AS40:AS42,"@@")&gt;0,"@@","OK")</x:f>
        <x:v>OK</x:v>
      </x:c>
    </x:row>
    <x:row r="40" spans="1:45" s="20" customFormat="1" ht="80.099999999999994" customHeight="1">
      <x:c r="A40" s="155" t="str">
        <x:f>IF(D40="","",COUNTA($C$7:C40)-COUNTBLANK($C$7:C40)+9)</x:f>
        <x:v/>
      </x:c>
      <x:c r="B40" s="156" t="str">
        <x: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x:f>
        <x:v/>
      </x:c>
      <x:c r="C40" s="156" t="str">
        <x:f>IF(D40="","",IF(OR(D40="교육지원과",D40="총무과",D40="인사과"),"직접입력",VLOOKUP(D40,구분표!$A$3:$C$258,3,)))</x:f>
        <x:v/>
      </x:c>
      <x:c r="D40" s="226"/>
      <x:c r="E40" s="213"/>
      <x:c r="F40" s="388" t="str">
        <x:f>IF($E40="","",IF($E40="2추","직접입력","-"))</x:f>
        <x:v/>
      </x:c>
      <x:c r="G40" s="388" t="str">
        <x:f>IF($E40="","",IF($E40="2추","직접입력","-"))</x:f>
        <x:v/>
      </x:c>
      <x:c r="H40" s="214"/>
      <x:c r="I40" s="237" t="str">
        <x:f>IF(H40="","",VLOOKUP($H40,구분표!$O$3:$P$168,2,FALSE))</x:f>
        <x:v/>
      </x:c>
      <x:c r="J40" s="215"/>
      <x:c r="K40" s="459" t="str">
        <x:f>IF($E40="","",IF(OR($E40="2추",$E40="1추",$E40="본예산"),"금액입력","-"))</x:f>
        <x:v/>
      </x:c>
      <x:c r="L40" s="459" t="str">
        <x:f>IF($E40="","",IF($E40="2추","금액입력","-"))</x:f>
        <x:v/>
      </x:c>
      <x:c r="M40" s="461" t="str">
        <x:f t="shared" ref="M40:M42" si="151">IF($E40="","",SUM(K40:L40))</x:f>
        <x:v/>
      </x:c>
      <x:c r="N40" s="460"/>
      <x:c r="O40" s="461">
        <x:f t="shared" ref="O40:O42" si="152">SUM(M40:N40)</x:f>
        <x:v>0</x:v>
      </x:c>
      <x:c r="P40" s="462"/>
      <x:c r="Q40" s="463">
        <x:f t="shared" ref="Q40:Q42" si="153">SUM(M40,P40)</x:f>
        <x:v>0</x:v>
      </x:c>
      <x:c r="R40" s="162" t="str">
        <x:f t="shared" ref="R40:R42" si="154">IF(AND((O40=0),(Q40&gt;0)),"O",IF(AND((N40&lt;0),(O40-Q40&lt;0)),"O","X"))</x:f>
        <x:v>X</x:v>
      </x:c>
      <x:c r="S40" s="230"/>
      <x:c r="T40" s="225"/>
      <x:c r="U40" s="217"/>
      <x:c r="V40" s="203"/>
      <x:c r="W40" s="162" t="str">
        <x:f t="shared" ref="W40:W42" si="155">IF($H40="","",IF(OR($H40="511-01",$H40="511-02",$H40="511-03",$H40="311-02",$H40="311-04",$H40="321-01"),"국도비","도비"))</x:f>
        <x:v/>
      </x:c>
      <x:c r="X40" s="217"/>
      <x:c r="Y40" s="45"/>
      <x:c r="Z40" s="508" t="str">
        <x:f t="shared" ref="Z40:Z42" si="156">IF($W40="","",IF($W40="국도비",$N40,0))</x:f>
        <x:v/>
      </x:c>
      <x:c r="AA40" s="508" t="str">
        <x:f t="shared" ref="AA40:AA42" si="157">IF($W40="","",IF($W40="도비",$N40,0))</x:f>
        <x:v/>
      </x:c>
      <x:c r="AB40" s="374" t="str">
        <x:f t="shared" ref="AB40:AB42" si="158">IF($W40="","",IF($N40=SUM($Z40:$AA40),"OK","@@"))</x:f>
        <x:v/>
      </x:c>
      <x:c r="AC40" s="46"/>
      <x:c r="AD40" s="508" t="str">
        <x:f t="shared" ref="AD40:AD42" si="159">IF($W40="","",IF($W40="국도비",$P40,0))</x:f>
        <x:v/>
      </x:c>
      <x:c r="AE40" s="508" t="str">
        <x:f t="shared" ref="AE40:AE42" si="160">IF($W40="","",IF($W40="도비",$P40,0))</x:f>
        <x:v/>
      </x:c>
      <x:c r="AF40" s="374" t="str">
        <x:f t="shared" ref="AF40:AF42" si="161">IF($W40="","",IF($P40=SUM($AD40:$AE40),"OK","@@"))</x:f>
        <x:v/>
      </x:c>
      <x:c r="AG40" s="46"/>
      <x:c r="AH40" s="374" t="str">
        <x:f>IF(AK40="","",IF($W40="도비","-",CONCATENATE(AK40,"-",COUNTIF(AK$7:$AK40,AK40))))</x:f>
        <x:v/>
      </x:c>
      <x:c r="AI40" s="374" t="str">
        <x:f t="shared" ref="AI40:AI42" si="162">IF($H40="","",IF($H40="511-01","국비",IF($H40="511-02","균특",IF($H40="511-03","기금",IF($H40="311-02","특교",IF($H40="311-04","소교",IF($H40="321-01","소멸","도비")))))))</x:f>
        <x:v/>
      </x:c>
      <x:c r="AJ40" s="46"/>
      <x:c r="AK40" s="374" t="str">
        <x:f t="array" ref="AK40:AK40">IF(OR($D40="",$C40="직접입력",$B40="직접입력"),"",INDEX(구분표!$I$2:$I$337,MATCH(1,(구분표!$G$2:$G$337='5. 기입'!$B40)*(구분표!$E$2:$E$337='5. 기입'!$C40)*(구분표!$F$2:$F$337='5. 기입'!$D40),0)))</x:f>
        <x:v/>
      </x:c>
      <x:c r="AL40" s="47"/>
      <x:c r="AM40" s="472" t="str">
        <x:f>IF($AH40="","",IF($AH40="-",0,SUMIFS('5. 기출'!$AB$7:$AB$2012,'5. 기출'!$AJ$7:$AJ$2012,$AH40)))</x:f>
        <x:v/>
      </x:c>
      <x:c r="AN40" s="377" t="str">
        <x:f>IF($AH40="","",IF($AH40="-",0,COUNTIF('5. 기출'!$AJ$7:$AJ$2012,$AH40)))</x:f>
        <x:v/>
      </x:c>
      <x:c r="AO40" s="374" t="str">
        <x:f t="shared" ref="AO40:AO42" si="163">IF($AH40="","",IF($Z40=$AM40,"OK","@@"))</x:f>
        <x:v/>
      </x:c>
      <x:c r="AP40" s="47"/>
      <x:c r="AQ40" s="472" t="str">
        <x:f>IF($AH40="","",IF($AH40="-",0,SUMIFS('5. 기출'!$AF$7:$AF$2012,'5. 기출'!$AJ$7:$AJ$2012,$AH40)))</x:f>
        <x:v/>
      </x:c>
      <x:c r="AR40" s="377" t="str">
        <x:f>IF($AH40="","",IF($AH40="-",0,COUNTIF('5. 기출'!$AJ$7:$AJ$2012,$AH40)))</x:f>
        <x:v/>
      </x:c>
      <x:c r="AS40" s="374" t="str">
        <x:f t="shared" ref="AS40:AS42" si="164">IF($AH40="","",IF($AD40=$AQ40,"OK","@@"))</x:f>
        <x:v/>
      </x:c>
    </x:row>
    <x:row r="41" spans="1:45" s="20" customFormat="1" ht="80.099999999999994" customHeight="1">
      <x:c r="A41" s="155" t="str">
        <x:f>IF(D41="","",COUNTA($C$7:C41)-COUNTBLANK($C$7:C41)+9)</x:f>
        <x:v/>
      </x:c>
      <x:c r="B41" s="156" t="str">
        <x: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x:f>
        <x:v/>
      </x:c>
      <x:c r="C41" s="156" t="str">
        <x:f>IF(D41="","",IF(OR(D41="교육지원과",D41="총무과",D41="인사과"),"직접입력",VLOOKUP(D41,구분표!$A$3:$C$258,3,)))</x:f>
        <x:v/>
      </x:c>
      <x:c r="D41" s="226"/>
      <x:c r="E41" s="213"/>
      <x:c r="F41" s="388" t="str">
        <x:f t="shared" ref="F41:G42" si="165">IF($E41="","",IF($E41="2추","직접입력","-"))</x:f>
        <x:v/>
      </x:c>
      <x:c r="G41" s="388" t="str">
        <x:f t="shared" si="165"/>
        <x:v/>
      </x:c>
      <x:c r="H41" s="214"/>
      <x:c r="I41" s="237" t="str">
        <x:f>IF(H41="","",VLOOKUP($H41,구분표!$O$3:$P$168,2,FALSE))</x:f>
        <x:v/>
      </x:c>
      <x:c r="J41" s="215"/>
      <x:c r="K41" s="459" t="str">
        <x:f t="shared" ref="K41:K42" si="166">IF($E41="","",IF(OR($E41="2추",$E41="1추",$E41="본예산"),"금액입력","-"))</x:f>
        <x:v/>
      </x:c>
      <x:c r="L41" s="459" t="str">
        <x:f t="shared" ref="L41:L42" si="167">IF($E41="","",IF($E41="2추","금액입력","-"))</x:f>
        <x:v/>
      </x:c>
      <x:c r="M41" s="461" t="str">
        <x:f t="shared" si="151"/>
        <x:v/>
      </x:c>
      <x:c r="N41" s="460"/>
      <x:c r="O41" s="461">
        <x:f t="shared" si="152"/>
        <x:v>0</x:v>
      </x:c>
      <x:c r="P41" s="462"/>
      <x:c r="Q41" s="463">
        <x:f t="shared" si="153"/>
        <x:v>0</x:v>
      </x:c>
      <x:c r="R41" s="162" t="str">
        <x:f t="shared" si="154"/>
        <x:v>X</x:v>
      </x:c>
      <x:c r="S41" s="230"/>
      <x:c r="T41" s="225"/>
      <x:c r="U41" s="217"/>
      <x:c r="V41" s="203"/>
      <x:c r="W41" s="162" t="str">
        <x:f t="shared" si="155"/>
        <x:v/>
      </x:c>
      <x:c r="X41" s="217"/>
      <x:c r="Y41" s="45"/>
      <x:c r="Z41" s="508" t="str">
        <x:f t="shared" si="156"/>
        <x:v/>
      </x:c>
      <x:c r="AA41" s="508" t="str">
        <x:f t="shared" si="157"/>
        <x:v/>
      </x:c>
      <x:c r="AB41" s="374" t="str">
        <x:f t="shared" si="158"/>
        <x:v/>
      </x:c>
      <x:c r="AC41" s="46"/>
      <x:c r="AD41" s="508" t="str">
        <x:f t="shared" si="159"/>
        <x:v/>
      </x:c>
      <x:c r="AE41" s="508" t="str">
        <x:f t="shared" si="160"/>
        <x:v/>
      </x:c>
      <x:c r="AF41" s="374" t="str">
        <x:f t="shared" si="161"/>
        <x:v/>
      </x:c>
      <x:c r="AG41" s="46"/>
      <x:c r="AH41" s="374" t="str">
        <x:f>IF(AK41="","",IF($W41="도비","-",CONCATENATE(AK41,"-",COUNTIF(AK$7:$AK41,AK41))))</x:f>
        <x:v/>
      </x:c>
      <x:c r="AI41" s="374" t="str">
        <x:f t="shared" si="162"/>
        <x:v/>
      </x:c>
      <x:c r="AJ41" s="46"/>
      <x:c r="AK41" s="374" t="str">
        <x:f t="array" ref="AK41:AK41">IF(OR($D41="",$C41="직접입력",$B41="직접입력"),"",INDEX(구분표!$I$2:$I$337,MATCH(1,(구분표!$G$2:$G$337='5. 기입'!$B41)*(구분표!$E$2:$E$337='5. 기입'!$C41)*(구분표!$F$2:$F$337='5. 기입'!$D41),0)))</x:f>
        <x:v/>
      </x:c>
      <x:c r="AL41" s="47"/>
      <x:c r="AM41" s="472" t="str">
        <x:f>IF($AH41="","",IF($AH41="-",0,SUMIFS('5. 기출'!$AB$7:$AB$2012,'5. 기출'!$AJ$7:$AJ$2012,$AH41)))</x:f>
        <x:v/>
      </x:c>
      <x:c r="AN41" s="377" t="str">
        <x:f>IF($AH41="","",IF($AH41="-",0,COUNTIF('5. 기출'!$AJ$7:$AJ$2012,$AH41)))</x:f>
        <x:v/>
      </x:c>
      <x:c r="AO41" s="374" t="str">
        <x:f t="shared" si="163"/>
        <x:v/>
      </x:c>
      <x:c r="AP41" s="47"/>
      <x:c r="AQ41" s="472" t="str">
        <x:f>IF($AH41="","",IF($AH41="-",0,SUMIFS('5. 기출'!$AF$7:$AF$2012,'5. 기출'!$AJ$7:$AJ$2012,$AH41)))</x:f>
        <x:v/>
      </x:c>
      <x:c r="AR41" s="377" t="str">
        <x:f>IF($AH41="","",IF($AH41="-",0,COUNTIF('5. 기출'!$AJ$7:$AJ$2012,$AH41)))</x:f>
        <x:v/>
      </x:c>
      <x:c r="AS41" s="374" t="str">
        <x:f t="shared" si="164"/>
        <x:v/>
      </x:c>
    </x:row>
    <x:row r="42" spans="1:45" s="20" customFormat="1" ht="80.099999999999994" customHeight="1">
      <x:c r="A42" s="155" t="str">
        <x:f>IF(D42="","",COUNTA($C$7:C42)-COUNTBLANK($C$7:C42)+9)</x:f>
        <x:v/>
      </x:c>
      <x:c r="B42" s="156" t="str">
        <x: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x:f>
        <x:v/>
      </x:c>
      <x:c r="C42" s="156" t="str">
        <x:f>IF(D42="","",IF(OR(D42="교육지원과",D42="총무과",D42="인사과"),"직접입력",VLOOKUP(D42,구분표!$A$3:$C$258,3,)))</x:f>
        <x:v/>
      </x:c>
      <x:c r="D42" s="226"/>
      <x:c r="E42" s="213"/>
      <x:c r="F42" s="388" t="str">
        <x:f t="shared" si="165"/>
        <x:v/>
      </x:c>
      <x:c r="G42" s="388" t="str">
        <x:f t="shared" si="165"/>
        <x:v/>
      </x:c>
      <x:c r="H42" s="214"/>
      <x:c r="I42" s="237" t="str">
        <x:f>IF(H42="","",VLOOKUP($H42,구분표!$O$3:$P$168,2,FALSE))</x:f>
        <x:v/>
      </x:c>
      <x:c r="J42" s="215"/>
      <x:c r="K42" s="459" t="str">
        <x:f t="shared" si="166"/>
        <x:v/>
      </x:c>
      <x:c r="L42" s="459" t="str">
        <x:f t="shared" si="167"/>
        <x:v/>
      </x:c>
      <x:c r="M42" s="461" t="str">
        <x:f t="shared" si="151"/>
        <x:v/>
      </x:c>
      <x:c r="N42" s="460"/>
      <x:c r="O42" s="461">
        <x:f t="shared" si="152"/>
        <x:v>0</x:v>
      </x:c>
      <x:c r="P42" s="462"/>
      <x:c r="Q42" s="463">
        <x:f t="shared" si="153"/>
        <x:v>0</x:v>
      </x:c>
      <x:c r="R42" s="162" t="str">
        <x:f t="shared" si="154"/>
        <x:v>X</x:v>
      </x:c>
      <x:c r="S42" s="230"/>
      <x:c r="T42" s="225"/>
      <x:c r="U42" s="217"/>
      <x:c r="V42" s="203"/>
      <x:c r="W42" s="162" t="str">
        <x:f t="shared" si="155"/>
        <x:v/>
      </x:c>
      <x:c r="X42" s="217"/>
      <x:c r="Y42" s="45"/>
      <x:c r="Z42" s="508" t="str">
        <x:f t="shared" si="156"/>
        <x:v/>
      </x:c>
      <x:c r="AA42" s="508" t="str">
        <x:f t="shared" si="157"/>
        <x:v/>
      </x:c>
      <x:c r="AB42" s="374" t="str">
        <x:f t="shared" si="158"/>
        <x:v/>
      </x:c>
      <x:c r="AC42" s="46"/>
      <x:c r="AD42" s="508" t="str">
        <x:f t="shared" si="159"/>
        <x:v/>
      </x:c>
      <x:c r="AE42" s="508" t="str">
        <x:f t="shared" si="160"/>
        <x:v/>
      </x:c>
      <x:c r="AF42" s="374" t="str">
        <x:f t="shared" si="161"/>
        <x:v/>
      </x:c>
      <x:c r="AG42" s="46"/>
      <x:c r="AH42" s="374" t="str">
        <x:f>IF(AK42="","",IF($W42="도비","-",CONCATENATE(AK42,"-",COUNTIF(AK$7:$AK42,AK42))))</x:f>
        <x:v/>
      </x:c>
      <x:c r="AI42" s="374" t="str">
        <x:f t="shared" si="162"/>
        <x:v/>
      </x:c>
      <x:c r="AJ42" s="46"/>
      <x:c r="AK42" s="374" t="str">
        <x:f t="array" ref="AK42:AK42">IF(OR($D42="",$C42="직접입력",$B42="직접입력"),"",INDEX(구분표!$I$2:$I$337,MATCH(1,(구분표!$G$2:$G$337='5. 기입'!$B42)*(구분표!$E$2:$E$337='5. 기입'!$C42)*(구분표!$F$2:$F$337='5. 기입'!$D42),0)))</x:f>
        <x:v/>
      </x:c>
      <x:c r="AL42" s="47"/>
      <x:c r="AM42" s="472" t="str">
        <x:f>IF($AH42="","",IF($AH42="-",0,SUMIFS('5. 기출'!$AB$7:$AB$2012,'5. 기출'!$AJ$7:$AJ$2012,$AH42)))</x:f>
        <x:v/>
      </x:c>
      <x:c r="AN42" s="377" t="str">
        <x:f>IF($AH42="","",IF($AH42="-",0,COUNTIF('5. 기출'!$AJ$7:$AJ$2012,$AH42)))</x:f>
        <x:v/>
      </x:c>
      <x:c r="AO42" s="374" t="str">
        <x:f t="shared" si="163"/>
        <x:v/>
      </x:c>
      <x:c r="AP42" s="47"/>
      <x:c r="AQ42" s="472" t="str">
        <x:f>IF($AH42="","",IF($AH42="-",0,SUMIFS('5. 기출'!$AF$7:$AF$2012,'5. 기출'!$AJ$7:$AJ$2012,$AH42)))</x:f>
        <x:v/>
      </x:c>
      <x:c r="AR42" s="377" t="str">
        <x:f>IF($AH42="","",IF($AH42="-",0,COUNTIF('5. 기출'!$AJ$7:$AJ$2012,$AH42)))</x:f>
        <x:v/>
      </x:c>
      <x:c r="AS42" s="374" t="str">
        <x:f t="shared" si="164"/>
        <x:v/>
      </x:c>
    </x:row>
    <x:row r="43" spans="1:45" ht="60" customHeight="1">
      <x:c r="A43" s="171"/>
      <x:c r="B43" s="888" t="s">
        <x:v>871</x:v>
      </x:c>
      <x:c r="C43" s="888"/>
      <x:c r="D43" s="888"/>
      <x:c r="E43" s="888"/>
      <x:c r="F43" s="888"/>
      <x:c r="G43" s="888"/>
      <x:c r="H43" s="79"/>
      <x:c r="I43" s="79"/>
      <x:c r="J43" s="349" t="str">
        <x:f>SUBTOTAL(3,J44:J46)&amp;"건"</x:f>
        <x:v>0건</x:v>
      </x:c>
      <x:c r="K43" s="458">
        <x:f t="shared" ref="K43:Q43" si="168">SUBTOTAL(9,K44:K46)</x:f>
        <x:v>0</x:v>
      </x:c>
      <x:c r="L43" s="458">
        <x:f t="shared" si="168"/>
        <x:v>0</x:v>
      </x:c>
      <x:c r="M43" s="458">
        <x:f t="shared" si="168"/>
        <x:v>0</x:v>
      </x:c>
      <x:c r="N43" s="458">
        <x:f t="shared" si="168"/>
        <x:v>0</x:v>
      </x:c>
      <x:c r="O43" s="458">
        <x:f t="shared" si="168"/>
        <x:v>0</x:v>
      </x:c>
      <x:c r="P43" s="458">
        <x:f t="shared" si="168"/>
        <x:v>0</x:v>
      </x:c>
      <x:c r="Q43" s="458">
        <x:f t="shared" si="168"/>
        <x:v>0</x:v>
      </x:c>
      <x:c r="R43" s="78"/>
      <x:c r="S43" s="78"/>
      <x:c r="T43" s="78"/>
      <x:c r="U43" s="78"/>
      <x:c r="V43" s="78"/>
      <x:c r="W43" s="80"/>
      <x:c r="X43" s="80"/>
      <x:c r="Y43" s="43"/>
      <x:c r="Z43" s="458">
        <x:f>SUBTOTAL(9,Z44:Z46)</x:f>
        <x:v>0</x:v>
      </x:c>
      <x:c r="AA43" s="458">
        <x:f>SUBTOTAL(9,AA44:AA46)</x:f>
        <x:v>0</x:v>
      </x:c>
      <x:c r="AB43" s="556" t="str">
        <x:f>IF(COUNTIF(AB44:AB46,"@@")&gt;0,"@@","OK")</x:f>
        <x:v>OK</x:v>
      </x:c>
      <x:c r="AC43" s="44"/>
      <x:c r="AD43" s="458">
        <x:f>SUBTOTAL(9,AD44:AD46)</x:f>
        <x:v>0</x:v>
      </x:c>
      <x:c r="AE43" s="458">
        <x:f>SUBTOTAL(9,AE44:AE46)</x:f>
        <x:v>0</x:v>
      </x:c>
      <x:c r="AF43" s="556" t="str">
        <x:f>IF(COUNTIF(AF44:AF46,"@@")&gt;0,"@@","OK")</x:f>
        <x:v>OK</x:v>
      </x:c>
      <x:c r="AG43" s="44"/>
      <x:c r="AH43" s="171"/>
      <x:c r="AI43" s="171"/>
      <x:c r="AJ43" s="44"/>
      <x:c r="AK43" s="171"/>
      <x:c r="AL43" s="44"/>
      <x:c r="AM43" s="458">
        <x:f>SUBTOTAL(9,AM44:AM46)</x:f>
        <x:v>0</x:v>
      </x:c>
      <x:c r="AN43" s="458">
        <x:f>SUBTOTAL(9,AN44:AN46)</x:f>
        <x:v>0</x:v>
      </x:c>
      <x:c r="AO43" s="556" t="str">
        <x:f>IF(COUNTIF(AO44:AO46,"@@")&gt;0,"@@","OK")</x:f>
        <x:v>OK</x:v>
      </x:c>
      <x:c r="AP43" s="44"/>
      <x:c r="AQ43" s="458">
        <x:f>SUBTOTAL(9,AQ44:AQ46)</x:f>
        <x:v>0</x:v>
      </x:c>
      <x:c r="AR43" s="458">
        <x:f>SUBTOTAL(9,AR44:AR46)</x:f>
        <x:v>0</x:v>
      </x:c>
      <x:c r="AS43" s="556" t="str">
        <x:f>IF(COUNTIF(AS44:AS46,"@@")&gt;0,"@@","OK")</x:f>
        <x:v>OK</x:v>
      </x:c>
    </x:row>
    <x:row r="44" spans="1:45" s="20" customFormat="1" ht="80.099999999999994" customHeight="1">
      <x:c r="A44" s="155" t="str">
        <x:f>IF(D44="","",COUNTA($C$7:C44)-COUNTBLANK($C$7:C44)+10)</x:f>
        <x:v/>
      </x:c>
      <x:c r="B44" s="156" t="str">
        <x: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x:f>
        <x:v/>
      </x:c>
      <x:c r="C44" s="156" t="str">
        <x:f>IF(D44="","",IF(OR(D44="교육지원과",D44="총무과",D44="인사과"),"직접입력",VLOOKUP(D44,구분표!$A$3:$C$258,3,)))</x:f>
        <x:v/>
      </x:c>
      <x:c r="D44" s="226"/>
      <x:c r="E44" s="213"/>
      <x:c r="F44" s="388" t="str">
        <x:f>IF($E44="","",IF($E44="2추","직접입력","-"))</x:f>
        <x:v/>
      </x:c>
      <x:c r="G44" s="388" t="str">
        <x:f>IF($E44="","",IF($E44="2추","직접입력","-"))</x:f>
        <x:v/>
      </x:c>
      <x:c r="H44" s="214"/>
      <x:c r="I44" s="237" t="str">
        <x:f>IF(H44="","",VLOOKUP($H44,구분표!$O$3:$P$168,2,FALSE))</x:f>
        <x:v/>
      </x:c>
      <x:c r="J44" s="215"/>
      <x:c r="K44" s="459" t="str">
        <x:f>IF($E44="","",IF(OR($E44="2추",$E44="1추",$E44="본예산"),"금액입력","-"))</x:f>
        <x:v/>
      </x:c>
      <x:c r="L44" s="459" t="str">
        <x:f>IF($E44="","",IF($E44="2추","금액입력","-"))</x:f>
        <x:v/>
      </x:c>
      <x:c r="M44" s="461" t="str">
        <x:f t="shared" ref="M44:M46" si="169">IF($E44="","",SUM(K44:L44))</x:f>
        <x:v/>
      </x:c>
      <x:c r="N44" s="460"/>
      <x:c r="O44" s="461">
        <x:f t="shared" ref="O44:O46" si="170">SUM(M44:N44)</x:f>
        <x:v>0</x:v>
      </x:c>
      <x:c r="P44" s="462"/>
      <x:c r="Q44" s="463">
        <x:f t="shared" ref="Q44:Q46" si="171">SUM(M44,P44)</x:f>
        <x:v>0</x:v>
      </x:c>
      <x:c r="R44" s="162" t="str">
        <x:f t="shared" ref="R44:R46" si="172">IF(AND((O44=0),(Q44&gt;0)),"O",IF(AND((N44&lt;0),(O44-Q44&lt;0)),"O","X"))</x:f>
        <x:v>X</x:v>
      </x:c>
      <x:c r="S44" s="230"/>
      <x:c r="T44" s="225"/>
      <x:c r="U44" s="217"/>
      <x:c r="V44" s="203"/>
      <x:c r="W44" s="162" t="str">
        <x:f t="shared" ref="W44:W46" si="173">IF($H44="","",IF(OR($H44="511-01",$H44="511-02",$H44="511-03",$H44="311-02",$H44="311-04",$H44="321-01"),"국도비","도비"))</x:f>
        <x:v/>
      </x:c>
      <x:c r="X44" s="217"/>
      <x:c r="Y44" s="45"/>
      <x:c r="Z44" s="508" t="str">
        <x:f t="shared" ref="Z44:Z46" si="174">IF($W44="","",IF($W44="국도비",$N44,0))</x:f>
        <x:v/>
      </x:c>
      <x:c r="AA44" s="508" t="str">
        <x:f t="shared" ref="AA44:AA46" si="175">IF($W44="","",IF($W44="도비",$N44,0))</x:f>
        <x:v/>
      </x:c>
      <x:c r="AB44" s="374" t="str">
        <x:f t="shared" ref="AB44:AB46" si="176">IF($W44="","",IF($N44=SUM($Z44:$AA44),"OK","@@"))</x:f>
        <x:v/>
      </x:c>
      <x:c r="AC44" s="46"/>
      <x:c r="AD44" s="508" t="str">
        <x:f t="shared" ref="AD44:AD46" si="177">IF($W44="","",IF($W44="국도비",$P44,0))</x:f>
        <x:v/>
      </x:c>
      <x:c r="AE44" s="508" t="str">
        <x:f t="shared" ref="AE44:AE46" si="178">IF($W44="","",IF($W44="도비",$P44,0))</x:f>
        <x:v/>
      </x:c>
      <x:c r="AF44" s="374" t="str">
        <x:f t="shared" ref="AF44:AF46" si="179">IF($W44="","",IF($P44=SUM($AD44:$AE44),"OK","@@"))</x:f>
        <x:v/>
      </x:c>
      <x:c r="AG44" s="46"/>
      <x:c r="AH44" s="374" t="str">
        <x:f>IF(AK44="","",IF($W44="도비","-",CONCATENATE(AK44,"-",COUNTIF(AK$7:$AK44,AK44))))</x:f>
        <x:v/>
      </x:c>
      <x:c r="AI44" s="374" t="str">
        <x:f t="shared" ref="AI44:AI46" si="180">IF($H44="","",IF($H44="511-01","국비",IF($H44="511-02","균특",IF($H44="511-03","기금",IF($H44="311-02","특교",IF($H44="311-04","소교",IF($H44="321-01","소멸","도비")))))))</x:f>
        <x:v/>
      </x:c>
      <x:c r="AJ44" s="46"/>
      <x:c r="AK44" s="374" t="str">
        <x:f t="array" ref="AK44:AK44">IF(OR($D44="",$C44="직접입력",$B44="직접입력"),"",INDEX(구분표!$I$2:$I$337,MATCH(1,(구분표!$G$2:$G$337='5. 기입'!$B44)*(구분표!$E$2:$E$337='5. 기입'!$C44)*(구분표!$F$2:$F$337='5. 기입'!$D44),0)))</x:f>
        <x:v/>
      </x:c>
      <x:c r="AL44" s="47"/>
      <x:c r="AM44" s="472" t="str">
        <x:f>IF($AH44="","",IF($AH44="-",0,SUMIFS('5. 기출'!$AB$7:$AB$2012,'5. 기출'!$AJ$7:$AJ$2012,$AH44)))</x:f>
        <x:v/>
      </x:c>
      <x:c r="AN44" s="377" t="str">
        <x:f>IF($AH44="","",IF($AH44="-",0,COUNTIF('5. 기출'!$AJ$7:$AJ$2012,$AH44)))</x:f>
        <x:v/>
      </x:c>
      <x:c r="AO44" s="374" t="str">
        <x:f t="shared" ref="AO44:AO46" si="181">IF($AH44="","",IF($Z44=$AM44,"OK","@@"))</x:f>
        <x:v/>
      </x:c>
      <x:c r="AP44" s="47"/>
      <x:c r="AQ44" s="472" t="str">
        <x:f>IF($AH44="","",IF($AH44="-",0,SUMIFS('5. 기출'!$AF$7:$AF$2012,'5. 기출'!$AJ$7:$AJ$2012,$AH44)))</x:f>
        <x:v/>
      </x:c>
      <x:c r="AR44" s="377" t="str">
        <x:f>IF($AH44="","",IF($AH44="-",0,COUNTIF('5. 기출'!$AJ$7:$AJ$2012,$AH44)))</x:f>
        <x:v/>
      </x:c>
      <x:c r="AS44" s="374" t="str">
        <x:f t="shared" ref="AS44:AS46" si="182">IF($AH44="","",IF($AD44=$AQ44,"OK","@@"))</x:f>
        <x:v/>
      </x:c>
    </x:row>
    <x:row r="45" spans="1:45" s="20" customFormat="1" ht="80.099999999999994" customHeight="1">
      <x:c r="A45" s="155" t="str">
        <x:f>IF(D45="","",COUNTA($C$7:C45)-COUNTBLANK($C$7:C45)+10)</x:f>
        <x:v/>
      </x:c>
      <x:c r="B45" s="156" t="str">
        <x: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x:f>
        <x:v/>
      </x:c>
      <x:c r="C45" s="156" t="str">
        <x:f>IF(D45="","",IF(OR(D45="교육지원과",D45="총무과",D45="인사과"),"직접입력",VLOOKUP(D45,구분표!$A$3:$C$258,3,)))</x:f>
        <x:v/>
      </x:c>
      <x:c r="D45" s="226"/>
      <x:c r="E45" s="213"/>
      <x:c r="F45" s="388" t="str">
        <x:f t="shared" ref="F45:G46" si="183">IF($E45="","",IF($E45="2추","직접입력","-"))</x:f>
        <x:v/>
      </x:c>
      <x:c r="G45" s="388" t="str">
        <x:f t="shared" si="183"/>
        <x:v/>
      </x:c>
      <x:c r="H45" s="214"/>
      <x:c r="I45" s="237" t="str">
        <x:f>IF(H45="","",VLOOKUP($H45,구분표!$O$3:$P$168,2,FALSE))</x:f>
        <x:v/>
      </x:c>
      <x:c r="J45" s="215"/>
      <x:c r="K45" s="459" t="str">
        <x:f t="shared" ref="K45:K46" si="184">IF($E45="","",IF(OR($E45="2추",$E45="1추",$E45="본예산"),"금액입력","-"))</x:f>
        <x:v/>
      </x:c>
      <x:c r="L45" s="459" t="str">
        <x:f t="shared" ref="L45:L46" si="185">IF($E45="","",IF($E45="2추","금액입력","-"))</x:f>
        <x:v/>
      </x:c>
      <x:c r="M45" s="461" t="str">
        <x:f t="shared" si="169"/>
        <x:v/>
      </x:c>
      <x:c r="N45" s="460"/>
      <x:c r="O45" s="461">
        <x:f t="shared" si="170"/>
        <x:v>0</x:v>
      </x:c>
      <x:c r="P45" s="462"/>
      <x:c r="Q45" s="463">
        <x:f t="shared" si="171"/>
        <x:v>0</x:v>
      </x:c>
      <x:c r="R45" s="162" t="str">
        <x:f t="shared" si="172"/>
        <x:v>X</x:v>
      </x:c>
      <x:c r="S45" s="230"/>
      <x:c r="T45" s="225"/>
      <x:c r="U45" s="217"/>
      <x:c r="V45" s="203"/>
      <x:c r="W45" s="162" t="str">
        <x:f t="shared" si="173"/>
        <x:v/>
      </x:c>
      <x:c r="X45" s="217"/>
      <x:c r="Y45" s="45"/>
      <x:c r="Z45" s="508" t="str">
        <x:f t="shared" si="174"/>
        <x:v/>
      </x:c>
      <x:c r="AA45" s="508" t="str">
        <x:f t="shared" si="175"/>
        <x:v/>
      </x:c>
      <x:c r="AB45" s="374" t="str">
        <x:f t="shared" si="176"/>
        <x:v/>
      </x:c>
      <x:c r="AC45" s="46"/>
      <x:c r="AD45" s="508" t="str">
        <x:f t="shared" si="177"/>
        <x:v/>
      </x:c>
      <x:c r="AE45" s="508" t="str">
        <x:f t="shared" si="178"/>
        <x:v/>
      </x:c>
      <x:c r="AF45" s="374" t="str">
        <x:f t="shared" si="179"/>
        <x:v/>
      </x:c>
      <x:c r="AG45" s="46"/>
      <x:c r="AH45" s="374" t="str">
        <x:f>IF(AK45="","",IF($W45="도비","-",CONCATENATE(AK45,"-",COUNTIF(AK$7:$AK45,AK45))))</x:f>
        <x:v/>
      </x:c>
      <x:c r="AI45" s="374" t="str">
        <x:f t="shared" si="180"/>
        <x:v/>
      </x:c>
      <x:c r="AJ45" s="46"/>
      <x:c r="AK45" s="374" t="str">
        <x:f t="array" ref="AK45:AK45">IF(OR($D45="",$C45="직접입력",$B45="직접입력"),"",INDEX(구분표!$I$2:$I$337,MATCH(1,(구분표!$G$2:$G$337='5. 기입'!$B45)*(구분표!$E$2:$E$337='5. 기입'!$C45)*(구분표!$F$2:$F$337='5. 기입'!$D45),0)))</x:f>
        <x:v/>
      </x:c>
      <x:c r="AL45" s="47"/>
      <x:c r="AM45" s="472" t="str">
        <x:f>IF($AH45="","",IF($AH45="-",0,SUMIFS('5. 기출'!$AB$7:$AB$2012,'5. 기출'!$AJ$7:$AJ$2012,$AH45)))</x:f>
        <x:v/>
      </x:c>
      <x:c r="AN45" s="377" t="str">
        <x:f>IF($AH45="","",IF($AH45="-",0,COUNTIF('5. 기출'!$AJ$7:$AJ$2012,$AH45)))</x:f>
        <x:v/>
      </x:c>
      <x:c r="AO45" s="374" t="str">
        <x:f t="shared" si="181"/>
        <x:v/>
      </x:c>
      <x:c r="AP45" s="47"/>
      <x:c r="AQ45" s="472" t="str">
        <x:f>IF($AH45="","",IF($AH45="-",0,SUMIFS('5. 기출'!$AF$7:$AF$2012,'5. 기출'!$AJ$7:$AJ$2012,$AH45)))</x:f>
        <x:v/>
      </x:c>
      <x:c r="AR45" s="377" t="str">
        <x:f>IF($AH45="","",IF($AH45="-",0,COUNTIF('5. 기출'!$AJ$7:$AJ$2012,$AH45)))</x:f>
        <x:v/>
      </x:c>
      <x:c r="AS45" s="374" t="str">
        <x:f t="shared" si="182"/>
        <x:v/>
      </x:c>
    </x:row>
    <x:row r="46" spans="1:45" s="20" customFormat="1" ht="80.099999999999994" customHeight="1">
      <x:c r="A46" s="155" t="str">
        <x:f>IF(D46="","",COUNTA($C$7:C46)-COUNTBLANK($C$7:C46)+10)</x:f>
        <x:v/>
      </x:c>
      <x:c r="B46" s="156" t="str">
        <x: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x:f>
        <x:v/>
      </x:c>
      <x:c r="C46" s="156" t="str">
        <x:f>IF(D46="","",IF(OR(D46="교육지원과",D46="총무과",D46="인사과"),"직접입력",VLOOKUP(D46,구분표!$A$3:$C$258,3,)))</x:f>
        <x:v/>
      </x:c>
      <x:c r="D46" s="226"/>
      <x:c r="E46" s="213"/>
      <x:c r="F46" s="388" t="str">
        <x:f t="shared" si="183"/>
        <x:v/>
      </x:c>
      <x:c r="G46" s="388" t="str">
        <x:f t="shared" si="183"/>
        <x:v/>
      </x:c>
      <x:c r="H46" s="214"/>
      <x:c r="I46" s="237" t="str">
        <x:f>IF(H46="","",VLOOKUP($H46,구분표!$O$3:$P$168,2,FALSE))</x:f>
        <x:v/>
      </x:c>
      <x:c r="J46" s="215"/>
      <x:c r="K46" s="459" t="str">
        <x:f t="shared" si="184"/>
        <x:v/>
      </x:c>
      <x:c r="L46" s="459" t="str">
        <x:f t="shared" si="185"/>
        <x:v/>
      </x:c>
      <x:c r="M46" s="461" t="str">
        <x:f t="shared" si="169"/>
        <x:v/>
      </x:c>
      <x:c r="N46" s="460"/>
      <x:c r="O46" s="461">
        <x:f t="shared" si="170"/>
        <x:v>0</x:v>
      </x:c>
      <x:c r="P46" s="462"/>
      <x:c r="Q46" s="463">
        <x:f t="shared" si="171"/>
        <x:v>0</x:v>
      </x:c>
      <x:c r="R46" s="162" t="str">
        <x:f t="shared" si="172"/>
        <x:v>X</x:v>
      </x:c>
      <x:c r="S46" s="230"/>
      <x:c r="T46" s="225"/>
      <x:c r="U46" s="217"/>
      <x:c r="V46" s="203"/>
      <x:c r="W46" s="162" t="str">
        <x:f t="shared" si="173"/>
        <x:v/>
      </x:c>
      <x:c r="X46" s="217"/>
      <x:c r="Y46" s="45"/>
      <x:c r="Z46" s="508" t="str">
        <x:f t="shared" si="174"/>
        <x:v/>
      </x:c>
      <x:c r="AA46" s="508" t="str">
        <x:f t="shared" si="175"/>
        <x:v/>
      </x:c>
      <x:c r="AB46" s="374" t="str">
        <x:f t="shared" si="176"/>
        <x:v/>
      </x:c>
      <x:c r="AC46" s="46"/>
      <x:c r="AD46" s="508" t="str">
        <x:f t="shared" si="177"/>
        <x:v/>
      </x:c>
      <x:c r="AE46" s="508" t="str">
        <x:f t="shared" si="178"/>
        <x:v/>
      </x:c>
      <x:c r="AF46" s="374" t="str">
        <x:f t="shared" si="179"/>
        <x:v/>
      </x:c>
      <x:c r="AG46" s="46"/>
      <x:c r="AH46" s="374" t="str">
        <x:f>IF(AK46="","",IF($W46="도비","-",CONCATENATE(AK46,"-",COUNTIF(AK$7:$AK46,AK46))))</x:f>
        <x:v/>
      </x:c>
      <x:c r="AI46" s="374" t="str">
        <x:f t="shared" si="180"/>
        <x:v/>
      </x:c>
      <x:c r="AJ46" s="46"/>
      <x:c r="AK46" s="374" t="str">
        <x:f t="array" ref="AK46:AK46">IF(OR($D46="",$C46="직접입력",$B46="직접입력"),"",INDEX(구분표!$I$2:$I$337,MATCH(1,(구분표!$G$2:$G$337='5. 기입'!$B46)*(구분표!$E$2:$E$337='5. 기입'!$C46)*(구분표!$F$2:$F$337='5. 기입'!$D46),0)))</x:f>
        <x:v/>
      </x:c>
      <x:c r="AL46" s="47"/>
      <x:c r="AM46" s="472" t="str">
        <x:f>IF($AH46="","",IF($AH46="-",0,SUMIFS('5. 기출'!$AB$7:$AB$2012,'5. 기출'!$AJ$7:$AJ$2012,$AH46)))</x:f>
        <x:v/>
      </x:c>
      <x:c r="AN46" s="377" t="str">
        <x:f>IF($AH46="","",IF($AH46="-",0,COUNTIF('5. 기출'!$AJ$7:$AJ$2012,$AH46)))</x:f>
        <x:v/>
      </x:c>
      <x:c r="AO46" s="374" t="str">
        <x:f t="shared" si="181"/>
        <x:v/>
      </x:c>
      <x:c r="AP46" s="47"/>
      <x:c r="AQ46" s="472" t="str">
        <x:f>IF($AH46="","",IF($AH46="-",0,SUMIFS('5. 기출'!$AF$7:$AF$2012,'5. 기출'!$AJ$7:$AJ$2012,$AH46)))</x:f>
        <x:v/>
      </x:c>
      <x:c r="AR46" s="377" t="str">
        <x:f>IF($AH46="","",IF($AH46="-",0,COUNTIF('5. 기출'!$AJ$7:$AJ$2012,$AH46)))</x:f>
        <x:v/>
      </x:c>
      <x:c r="AS46" s="374" t="str">
        <x:f t="shared" si="182"/>
        <x:v/>
      </x:c>
    </x:row>
    <x:row r="47" spans="1:45" ht="60" customHeight="1">
      <x:c r="A47" s="171"/>
      <x:c r="B47" s="888" t="s">
        <x:v>874</x:v>
      </x:c>
      <x:c r="C47" s="888"/>
      <x:c r="D47" s="888"/>
      <x:c r="E47" s="888"/>
      <x:c r="F47" s="888"/>
      <x:c r="G47" s="888"/>
      <x:c r="H47" s="79"/>
      <x:c r="I47" s="79"/>
      <x:c r="J47" s="349" t="str">
        <x:f>SUBTOTAL(3,J48:J50)&amp;"건"</x:f>
        <x:v>0건</x:v>
      </x:c>
      <x:c r="K47" s="458">
        <x:f t="shared" ref="K47:Q47" si="186">SUBTOTAL(9,K48:K50)</x:f>
        <x:v>0</x:v>
      </x:c>
      <x:c r="L47" s="458">
        <x:f t="shared" si="186"/>
        <x:v>0</x:v>
      </x:c>
      <x:c r="M47" s="458">
        <x:f t="shared" si="186"/>
        <x:v>0</x:v>
      </x:c>
      <x:c r="N47" s="458">
        <x:f t="shared" si="186"/>
        <x:v>0</x:v>
      </x:c>
      <x:c r="O47" s="458">
        <x:f t="shared" si="186"/>
        <x:v>0</x:v>
      </x:c>
      <x:c r="P47" s="458">
        <x:f t="shared" si="186"/>
        <x:v>0</x:v>
      </x:c>
      <x:c r="Q47" s="458">
        <x:f t="shared" si="186"/>
        <x:v>0</x:v>
      </x:c>
      <x:c r="R47" s="78"/>
      <x:c r="S47" s="78"/>
      <x:c r="T47" s="78"/>
      <x:c r="U47" s="78"/>
      <x:c r="V47" s="78"/>
      <x:c r="W47" s="80"/>
      <x:c r="X47" s="80"/>
      <x:c r="Y47" s="43"/>
      <x:c r="Z47" s="458">
        <x:f>SUBTOTAL(9,Z48:Z50)</x:f>
        <x:v>0</x:v>
      </x:c>
      <x:c r="AA47" s="458">
        <x:f>SUBTOTAL(9,AA48:AA50)</x:f>
        <x:v>0</x:v>
      </x:c>
      <x:c r="AB47" s="556" t="str">
        <x:f>IF(COUNTIF(AB48:AB50,"@@")&gt;0,"@@","OK")</x:f>
        <x:v>OK</x:v>
      </x:c>
      <x:c r="AC47" s="44"/>
      <x:c r="AD47" s="458">
        <x:f>SUBTOTAL(9,AD48:AD50)</x:f>
        <x:v>0</x:v>
      </x:c>
      <x:c r="AE47" s="458">
        <x:f>SUBTOTAL(9,AE48:AE50)</x:f>
        <x:v>0</x:v>
      </x:c>
      <x:c r="AF47" s="556" t="str">
        <x:f>IF(COUNTIF(AF48:AF50,"@@")&gt;0,"@@","OK")</x:f>
        <x:v>OK</x:v>
      </x:c>
      <x:c r="AG47" s="44"/>
      <x:c r="AH47" s="171"/>
      <x:c r="AI47" s="171"/>
      <x:c r="AJ47" s="44"/>
      <x:c r="AK47" s="171"/>
      <x:c r="AL47" s="44"/>
      <x:c r="AM47" s="458">
        <x:f>SUBTOTAL(9,AM48:AM50)</x:f>
        <x:v>0</x:v>
      </x:c>
      <x:c r="AN47" s="458">
        <x:f>SUBTOTAL(9,AN48:AN50)</x:f>
        <x:v>0</x:v>
      </x:c>
      <x:c r="AO47" s="556" t="str">
        <x:f>IF(COUNTIF(AO48:AO50,"@@")&gt;0,"@@","OK")</x:f>
        <x:v>OK</x:v>
      </x:c>
      <x:c r="AP47" s="44"/>
      <x:c r="AQ47" s="458">
        <x:f>SUBTOTAL(9,AQ48:AQ50)</x:f>
        <x:v>0</x:v>
      </x:c>
      <x:c r="AR47" s="458">
        <x:f>SUBTOTAL(9,AR48:AR50)</x:f>
        <x:v>0</x:v>
      </x:c>
      <x:c r="AS47" s="556" t="str">
        <x:f>IF(COUNTIF(AS48:AS50,"@@")&gt;0,"@@","OK")</x:f>
        <x:v>OK</x:v>
      </x:c>
    </x:row>
    <x:row r="48" spans="1:45" s="20" customFormat="1" ht="80.099999999999994" customHeight="1">
      <x:c r="A48" s="155" t="str">
        <x:f>IF(D48="","",COUNTA($C$7:C48)-COUNTBLANK($C$7:C48)+11)</x:f>
        <x:v/>
      </x:c>
      <x:c r="B48" s="156" t="str">
        <x: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x:f>
        <x:v/>
      </x:c>
      <x:c r="C48" s="156" t="str">
        <x:f>IF(D48="","",IF(OR(D48="교육지원과",D48="총무과",D48="인사과"),"직접입력",VLOOKUP(D48,구분표!$A$3:$C$258,3,)))</x:f>
        <x:v/>
      </x:c>
      <x:c r="D48" s="226"/>
      <x:c r="E48" s="213"/>
      <x:c r="F48" s="388" t="str">
        <x:f>IF($E48="","",IF($E48="2추","직접입력","-"))</x:f>
        <x:v/>
      </x:c>
      <x:c r="G48" s="388" t="str">
        <x:f>IF($E48="","",IF($E48="2추","직접입력","-"))</x:f>
        <x:v/>
      </x:c>
      <x:c r="H48" s="214"/>
      <x:c r="I48" s="237" t="str">
        <x:f>IF(H48="","",VLOOKUP($H48,구분표!$O$3:$P$168,2,FALSE))</x:f>
        <x:v/>
      </x:c>
      <x:c r="J48" s="215"/>
      <x:c r="K48" s="459" t="str">
        <x:f>IF($E48="","",IF(OR($E48="2추",$E48="1추",$E48="본예산"),"금액입력","-"))</x:f>
        <x:v/>
      </x:c>
      <x:c r="L48" s="459" t="str">
        <x:f>IF($E48="","",IF($E48="2추","금액입력","-"))</x:f>
        <x:v/>
      </x:c>
      <x:c r="M48" s="461" t="str">
        <x:f t="shared" ref="M48:M50" si="187">IF($E48="","",SUM(K48:L48))</x:f>
        <x:v/>
      </x:c>
      <x:c r="N48" s="460"/>
      <x:c r="O48" s="461">
        <x:f t="shared" ref="O48:O50" si="188">SUM(M48:N48)</x:f>
        <x:v>0</x:v>
      </x:c>
      <x:c r="P48" s="462"/>
      <x:c r="Q48" s="463">
        <x:f t="shared" ref="Q48:Q50" si="189">SUM(M48,P48)</x:f>
        <x:v>0</x:v>
      </x:c>
      <x:c r="R48" s="162" t="str">
        <x:f t="shared" ref="R48:R50" si="190">IF(AND((O48=0),(Q48&gt;0)),"O",IF(AND((N48&lt;0),(O48-Q48&lt;0)),"O","X"))</x:f>
        <x:v>X</x:v>
      </x:c>
      <x:c r="S48" s="230"/>
      <x:c r="T48" s="225"/>
      <x:c r="U48" s="217"/>
      <x:c r="V48" s="203"/>
      <x:c r="W48" s="162" t="str">
        <x:f t="shared" ref="W48:W50" si="191">IF($H48="","",IF(OR($H48="511-01",$H48="511-02",$H48="511-03",$H48="311-02",$H48="311-04",$H48="321-01"),"국도비","도비"))</x:f>
        <x:v/>
      </x:c>
      <x:c r="X48" s="217"/>
      <x:c r="Y48" s="45"/>
      <x:c r="Z48" s="508" t="str">
        <x:f t="shared" ref="Z48:Z50" si="192">IF($W48="","",IF($W48="국도비",$N48,0))</x:f>
        <x:v/>
      </x:c>
      <x:c r="AA48" s="508" t="str">
        <x:f t="shared" ref="AA48:AA50" si="193">IF($W48="","",IF($W48="도비",$N48,0))</x:f>
        <x:v/>
      </x:c>
      <x:c r="AB48" s="374" t="str">
        <x:f t="shared" ref="AB48:AB50" si="194">IF($W48="","",IF($N48=SUM($Z48:$AA48),"OK","@@"))</x:f>
        <x:v/>
      </x:c>
      <x:c r="AC48" s="46"/>
      <x:c r="AD48" s="508" t="str">
        <x:f t="shared" ref="AD48:AD50" si="195">IF($W48="","",IF($W48="국도비",$P48,0))</x:f>
        <x:v/>
      </x:c>
      <x:c r="AE48" s="508" t="str">
        <x:f t="shared" ref="AE48:AE50" si="196">IF($W48="","",IF($W48="도비",$P48,0))</x:f>
        <x:v/>
      </x:c>
      <x:c r="AF48" s="374" t="str">
        <x:f t="shared" ref="AF48:AF50" si="197">IF($W48="","",IF($P48=SUM($AD48:$AE48),"OK","@@"))</x:f>
        <x:v/>
      </x:c>
      <x:c r="AG48" s="46"/>
      <x:c r="AH48" s="374" t="str">
        <x:f>IF(AK48="","",IF($W48="도비","-",CONCATENATE(AK48,"-",COUNTIF(AK$7:$AK48,AK48))))</x:f>
        <x:v/>
      </x:c>
      <x:c r="AI48" s="374" t="str">
        <x:f t="shared" ref="AI48:AI50" si="198">IF($H48="","",IF($H48="511-01","국비",IF($H48="511-02","균특",IF($H48="511-03","기금",IF($H48="311-02","특교",IF($H48="311-04","소교",IF($H48="321-01","소멸","도비")))))))</x:f>
        <x:v/>
      </x:c>
      <x:c r="AJ48" s="46"/>
      <x:c r="AK48" s="374" t="str">
        <x:f t="array" ref="AK48:AK48">IF(OR($D48="",$C48="직접입력",$B48="직접입력"),"",INDEX(구분표!$I$2:$I$337,MATCH(1,(구분표!$G$2:$G$337='5. 기입'!$B48)*(구분표!$E$2:$E$337='5. 기입'!$C48)*(구분표!$F$2:$F$337='5. 기입'!$D48),0)))</x:f>
        <x:v/>
      </x:c>
      <x:c r="AL48" s="47"/>
      <x:c r="AM48" s="472" t="str">
        <x:f>IF($AH48="","",IF($AH48="-",0,SUMIFS('5. 기출'!$AB$7:$AB$2012,'5. 기출'!$AJ$7:$AJ$2012,$AH48)))</x:f>
        <x:v/>
      </x:c>
      <x:c r="AN48" s="377" t="str">
        <x:f>IF($AH48="","",IF($AH48="-",0,COUNTIF('5. 기출'!$AJ$7:$AJ$2012,$AH48)))</x:f>
        <x:v/>
      </x:c>
      <x:c r="AO48" s="374" t="str">
        <x:f t="shared" ref="AO48:AO50" si="199">IF($AH48="","",IF($Z48=$AM48,"OK","@@"))</x:f>
        <x:v/>
      </x:c>
      <x:c r="AP48" s="47"/>
      <x:c r="AQ48" s="472" t="str">
        <x:f>IF($AH48="","",IF($AH48="-",0,SUMIFS('5. 기출'!$AF$7:$AF$2012,'5. 기출'!$AJ$7:$AJ$2012,$AH48)))</x:f>
        <x:v/>
      </x:c>
      <x:c r="AR48" s="377" t="str">
        <x:f>IF($AH48="","",IF($AH48="-",0,COUNTIF('5. 기출'!$AJ$7:$AJ$2012,$AH48)))</x:f>
        <x:v/>
      </x:c>
      <x:c r="AS48" s="374" t="str">
        <x:f t="shared" ref="AS48:AS50" si="200">IF($AH48="","",IF($AD48=$AQ48,"OK","@@"))</x:f>
        <x:v/>
      </x:c>
    </x:row>
    <x:row r="49" spans="1:45" s="20" customFormat="1" ht="80.099999999999994" customHeight="1">
      <x:c r="A49" s="155" t="str">
        <x:f>IF(D49="","",COUNTA($C$7:C49)-COUNTBLANK($C$7:C49)+11)</x:f>
        <x:v/>
      </x:c>
      <x:c r="B49" s="156" t="str">
        <x: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x:f>
        <x:v/>
      </x:c>
      <x:c r="C49" s="156" t="str">
        <x:f>IF(D49="","",IF(OR(D49="교육지원과",D49="총무과",D49="인사과"),"직접입력",VLOOKUP(D49,구분표!$A$3:$C$258,3,)))</x:f>
        <x:v/>
      </x:c>
      <x:c r="D49" s="226"/>
      <x:c r="E49" s="213"/>
      <x:c r="F49" s="388" t="str">
        <x:f t="shared" ref="F49:G50" si="201">IF($E49="","",IF($E49="2추","직접입력","-"))</x:f>
        <x:v/>
      </x:c>
      <x:c r="G49" s="388" t="str">
        <x:f t="shared" si="201"/>
        <x:v/>
      </x:c>
      <x:c r="H49" s="214"/>
      <x:c r="I49" s="237" t="str">
        <x:f>IF(H49="","",VLOOKUP($H49,구분표!$O$3:$P$168,2,FALSE))</x:f>
        <x:v/>
      </x:c>
      <x:c r="J49" s="215"/>
      <x:c r="K49" s="459" t="str">
        <x:f t="shared" ref="K49:K50" si="202">IF($E49="","",IF(OR($E49="2추",$E49="1추",$E49="본예산"),"금액입력","-"))</x:f>
        <x:v/>
      </x:c>
      <x:c r="L49" s="459" t="str">
        <x:f t="shared" ref="L49:L50" si="203">IF($E49="","",IF($E49="2추","금액입력","-"))</x:f>
        <x:v/>
      </x:c>
      <x:c r="M49" s="461" t="str">
        <x:f t="shared" si="187"/>
        <x:v/>
      </x:c>
      <x:c r="N49" s="460"/>
      <x:c r="O49" s="461">
        <x:f t="shared" si="188"/>
        <x:v>0</x:v>
      </x:c>
      <x:c r="P49" s="462"/>
      <x:c r="Q49" s="463">
        <x:f t="shared" si="189"/>
        <x:v>0</x:v>
      </x:c>
      <x:c r="R49" s="162" t="str">
        <x:f t="shared" si="190"/>
        <x:v>X</x:v>
      </x:c>
      <x:c r="S49" s="230"/>
      <x:c r="T49" s="225"/>
      <x:c r="U49" s="217"/>
      <x:c r="V49" s="203"/>
      <x:c r="W49" s="162" t="str">
        <x:f t="shared" si="191"/>
        <x:v/>
      </x:c>
      <x:c r="X49" s="217"/>
      <x:c r="Y49" s="45"/>
      <x:c r="Z49" s="508" t="str">
        <x:f t="shared" si="192"/>
        <x:v/>
      </x:c>
      <x:c r="AA49" s="508" t="str">
        <x:f t="shared" si="193"/>
        <x:v/>
      </x:c>
      <x:c r="AB49" s="374" t="str">
        <x:f t="shared" si="194"/>
        <x:v/>
      </x:c>
      <x:c r="AC49" s="46"/>
      <x:c r="AD49" s="508" t="str">
        <x:f t="shared" si="195"/>
        <x:v/>
      </x:c>
      <x:c r="AE49" s="508" t="str">
        <x:f t="shared" si="196"/>
        <x:v/>
      </x:c>
      <x:c r="AF49" s="374" t="str">
        <x:f t="shared" si="197"/>
        <x:v/>
      </x:c>
      <x:c r="AG49" s="46"/>
      <x:c r="AH49" s="374" t="str">
        <x:f>IF(AK49="","",IF($W49="도비","-",CONCATENATE(AK49,"-",COUNTIF(AK$7:$AK49,AK49))))</x:f>
        <x:v/>
      </x:c>
      <x:c r="AI49" s="374" t="str">
        <x:f t="shared" si="198"/>
        <x:v/>
      </x:c>
      <x:c r="AJ49" s="46"/>
      <x:c r="AK49" s="374" t="str">
        <x:f t="array" ref="AK49:AK49">IF(OR($D49="",$C49="직접입력",$B49="직접입력"),"",INDEX(구분표!$I$2:$I$337,MATCH(1,(구분표!$G$2:$G$337='5. 기입'!$B49)*(구분표!$E$2:$E$337='5. 기입'!$C49)*(구분표!$F$2:$F$337='5. 기입'!$D49),0)))</x:f>
        <x:v/>
      </x:c>
      <x:c r="AL49" s="47"/>
      <x:c r="AM49" s="472" t="str">
        <x:f>IF($AH49="","",IF($AH49="-",0,SUMIFS('5. 기출'!$AB$7:$AB$2012,'5. 기출'!$AJ$7:$AJ$2012,$AH49)))</x:f>
        <x:v/>
      </x:c>
      <x:c r="AN49" s="377" t="str">
        <x:f>IF($AH49="","",IF($AH49="-",0,COUNTIF('5. 기출'!$AJ$7:$AJ$2012,$AH49)))</x:f>
        <x:v/>
      </x:c>
      <x:c r="AO49" s="374" t="str">
        <x:f t="shared" si="199"/>
        <x:v/>
      </x:c>
      <x:c r="AP49" s="47"/>
      <x:c r="AQ49" s="472" t="str">
        <x:f>IF($AH49="","",IF($AH49="-",0,SUMIFS('5. 기출'!$AF$7:$AF$2012,'5. 기출'!$AJ$7:$AJ$2012,$AH49)))</x:f>
        <x:v/>
      </x:c>
      <x:c r="AR49" s="377" t="str">
        <x:f>IF($AH49="","",IF($AH49="-",0,COUNTIF('5. 기출'!$AJ$7:$AJ$2012,$AH49)))</x:f>
        <x:v/>
      </x:c>
      <x:c r="AS49" s="374" t="str">
        <x:f t="shared" si="200"/>
        <x:v/>
      </x:c>
    </x:row>
    <x:row r="50" spans="1:45" s="20" customFormat="1" ht="80.099999999999994" customHeight="1">
      <x:c r="A50" s="155" t="str">
        <x:f>IF(D50="","",COUNTA($C$7:C50)-COUNTBLANK($C$7:C50)+11)</x:f>
        <x:v/>
      </x:c>
      <x:c r="B50" s="156" t="str">
        <x: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x:f>
        <x:v/>
      </x:c>
      <x:c r="C50" s="156" t="str">
        <x:f>IF(D50="","",IF(OR(D50="교육지원과",D50="총무과",D50="인사과"),"직접입력",VLOOKUP(D50,구분표!$A$3:$C$258,3,)))</x:f>
        <x:v/>
      </x:c>
      <x:c r="D50" s="226"/>
      <x:c r="E50" s="213"/>
      <x:c r="F50" s="388" t="str">
        <x:f t="shared" si="201"/>
        <x:v/>
      </x:c>
      <x:c r="G50" s="388" t="str">
        <x:f t="shared" si="201"/>
        <x:v/>
      </x:c>
      <x:c r="H50" s="214"/>
      <x:c r="I50" s="237" t="str">
        <x:f>IF(H50="","",VLOOKUP($H50,구분표!$O$3:$P$168,2,FALSE))</x:f>
        <x:v/>
      </x:c>
      <x:c r="J50" s="215"/>
      <x:c r="K50" s="459" t="str">
        <x:f t="shared" si="202"/>
        <x:v/>
      </x:c>
      <x:c r="L50" s="459" t="str">
        <x:f t="shared" si="203"/>
        <x:v/>
      </x:c>
      <x:c r="M50" s="461" t="str">
        <x:f t="shared" si="187"/>
        <x:v/>
      </x:c>
      <x:c r="N50" s="460"/>
      <x:c r="O50" s="461">
        <x:f t="shared" si="188"/>
        <x:v>0</x:v>
      </x:c>
      <x:c r="P50" s="462"/>
      <x:c r="Q50" s="463">
        <x:f t="shared" si="189"/>
        <x:v>0</x:v>
      </x:c>
      <x:c r="R50" s="162" t="str">
        <x:f t="shared" si="190"/>
        <x:v>X</x:v>
      </x:c>
      <x:c r="S50" s="230"/>
      <x:c r="T50" s="225"/>
      <x:c r="U50" s="217"/>
      <x:c r="V50" s="203"/>
      <x:c r="W50" s="162" t="str">
        <x:f t="shared" si="191"/>
        <x:v/>
      </x:c>
      <x:c r="X50" s="217"/>
      <x:c r="Y50" s="45"/>
      <x:c r="Z50" s="508" t="str">
        <x:f t="shared" si="192"/>
        <x:v/>
      </x:c>
      <x:c r="AA50" s="508" t="str">
        <x:f t="shared" si="193"/>
        <x:v/>
      </x:c>
      <x:c r="AB50" s="374" t="str">
        <x:f t="shared" si="194"/>
        <x:v/>
      </x:c>
      <x:c r="AC50" s="46"/>
      <x:c r="AD50" s="508" t="str">
        <x:f t="shared" si="195"/>
        <x:v/>
      </x:c>
      <x:c r="AE50" s="508" t="str">
        <x:f t="shared" si="196"/>
        <x:v/>
      </x:c>
      <x:c r="AF50" s="374" t="str">
        <x:f t="shared" si="197"/>
        <x:v/>
      </x:c>
      <x:c r="AG50" s="46"/>
      <x:c r="AH50" s="374" t="str">
        <x:f>IF(AK50="","",IF($W50="도비","-",CONCATENATE(AK50,"-",COUNTIF(AK$7:$AK50,AK50))))</x:f>
        <x:v/>
      </x:c>
      <x:c r="AI50" s="374" t="str">
        <x:f t="shared" si="198"/>
        <x:v/>
      </x:c>
      <x:c r="AJ50" s="46"/>
      <x:c r="AK50" s="374" t="str">
        <x:f t="array" ref="AK50:AK50">IF(OR($D50="",$C50="직접입력",$B50="직접입력"),"",INDEX(구분표!$I$2:$I$337,MATCH(1,(구분표!$G$2:$G$337='5. 기입'!$B50)*(구분표!$E$2:$E$337='5. 기입'!$C50)*(구분표!$F$2:$F$337='5. 기입'!$D50),0)))</x:f>
        <x:v/>
      </x:c>
      <x:c r="AL50" s="47"/>
      <x:c r="AM50" s="472" t="str">
        <x:f>IF($AH50="","",IF($AH50="-",0,SUMIFS('5. 기출'!$AB$7:$AB$2012,'5. 기출'!$AJ$7:$AJ$2012,$AH50)))</x:f>
        <x:v/>
      </x:c>
      <x:c r="AN50" s="377" t="str">
        <x:f>IF($AH50="","",IF($AH50="-",0,COUNTIF('5. 기출'!$AJ$7:$AJ$2012,$AH50)))</x:f>
        <x:v/>
      </x:c>
      <x:c r="AO50" s="374" t="str">
        <x:f t="shared" si="199"/>
        <x:v/>
      </x:c>
      <x:c r="AP50" s="47"/>
      <x:c r="AQ50" s="472" t="str">
        <x:f>IF($AH50="","",IF($AH50="-",0,SUMIFS('5. 기출'!$AF$7:$AF$2012,'5. 기출'!$AJ$7:$AJ$2012,$AH50)))</x:f>
        <x:v/>
      </x:c>
      <x:c r="AR50" s="377" t="str">
        <x:f>IF($AH50="","",IF($AH50="-",0,COUNTIF('5. 기출'!$AJ$7:$AJ$2012,$AH50)))</x:f>
        <x:v/>
      </x:c>
      <x:c r="AS50" s="374" t="str">
        <x:f t="shared" si="200"/>
        <x:v/>
      </x:c>
    </x:row>
    <x:row r="51" spans="1:45" ht="60" customHeight="1">
      <x:c r="A51" s="171"/>
      <x:c r="B51" s="888" t="s">
        <x:v>881</x:v>
      </x:c>
      <x:c r="C51" s="888"/>
      <x:c r="D51" s="888"/>
      <x:c r="E51" s="888"/>
      <x:c r="F51" s="888"/>
      <x:c r="G51" s="888"/>
      <x:c r="H51" s="79"/>
      <x:c r="I51" s="79"/>
      <x:c r="J51" s="349" t="str">
        <x:f>SUBTOTAL(3,J52:J54)&amp;"건"</x:f>
        <x:v>0건</x:v>
      </x:c>
      <x:c r="K51" s="458">
        <x:f t="shared" ref="K51:Q51" si="204">SUBTOTAL(9,K52:K54)</x:f>
        <x:v>0</x:v>
      </x:c>
      <x:c r="L51" s="458">
        <x:f t="shared" si="204"/>
        <x:v>0</x:v>
      </x:c>
      <x:c r="M51" s="458">
        <x:f t="shared" si="204"/>
        <x:v>0</x:v>
      </x:c>
      <x:c r="N51" s="458">
        <x:f t="shared" si="204"/>
        <x:v>0</x:v>
      </x:c>
      <x:c r="O51" s="458">
        <x:f t="shared" si="204"/>
        <x:v>0</x:v>
      </x:c>
      <x:c r="P51" s="458">
        <x:f t="shared" si="204"/>
        <x:v>0</x:v>
      </x:c>
      <x:c r="Q51" s="458">
        <x:f t="shared" si="204"/>
        <x:v>0</x:v>
      </x:c>
      <x:c r="R51" s="78"/>
      <x:c r="S51" s="78"/>
      <x:c r="T51" s="78"/>
      <x:c r="U51" s="78"/>
      <x:c r="V51" s="78"/>
      <x:c r="W51" s="80"/>
      <x:c r="X51" s="80"/>
      <x:c r="Y51" s="43"/>
      <x:c r="Z51" s="458">
        <x:f>SUBTOTAL(9,Z52:Z54)</x:f>
        <x:v>0</x:v>
      </x:c>
      <x:c r="AA51" s="458">
        <x:f>SUBTOTAL(9,AA52:AA54)</x:f>
        <x:v>0</x:v>
      </x:c>
      <x:c r="AB51" s="556" t="str">
        <x:f>IF(COUNTIF(AB52:AB54,"@@")&gt;0,"@@","OK")</x:f>
        <x:v>OK</x:v>
      </x:c>
      <x:c r="AC51" s="44"/>
      <x:c r="AD51" s="458">
        <x:f>SUBTOTAL(9,AD52:AD54)</x:f>
        <x:v>0</x:v>
      </x:c>
      <x:c r="AE51" s="458">
        <x:f>SUBTOTAL(9,AE52:AE54)</x:f>
        <x:v>0</x:v>
      </x:c>
      <x:c r="AF51" s="556" t="str">
        <x:f>IF(COUNTIF(AF52:AF54,"@@")&gt;0,"@@","OK")</x:f>
        <x:v>OK</x:v>
      </x:c>
      <x:c r="AG51" s="44"/>
      <x:c r="AH51" s="171"/>
      <x:c r="AI51" s="171"/>
      <x:c r="AJ51" s="44"/>
      <x:c r="AK51" s="171"/>
      <x:c r="AL51" s="44"/>
      <x:c r="AM51" s="458">
        <x:f>SUBTOTAL(9,AM52:AM54)</x:f>
        <x:v>0</x:v>
      </x:c>
      <x:c r="AN51" s="458">
        <x:f>SUBTOTAL(9,AN52:AN54)</x:f>
        <x:v>0</x:v>
      </x:c>
      <x:c r="AO51" s="556" t="str">
        <x:f>IF(COUNTIF(AO52:AO54,"@@")&gt;0,"@@","OK")</x:f>
        <x:v>OK</x:v>
      </x:c>
      <x:c r="AP51" s="44"/>
      <x:c r="AQ51" s="458">
        <x:f>SUBTOTAL(9,AQ52:AQ54)</x:f>
        <x:v>0</x:v>
      </x:c>
      <x:c r="AR51" s="458">
        <x:f>SUBTOTAL(9,AR52:AR54)</x:f>
        <x:v>0</x:v>
      </x:c>
      <x:c r="AS51" s="556" t="str">
        <x:f>IF(COUNTIF(AS52:AS54,"@@")&gt;0,"@@","OK")</x:f>
        <x:v>OK</x:v>
      </x:c>
    </x:row>
    <x:row r="52" spans="1:45" s="20" customFormat="1" ht="80.099999999999994" customHeight="1">
      <x:c r="A52" s="155" t="str">
        <x:f>IF(D52="","",COUNTA($C$7:C52)-COUNTBLANK($C$7:C52)+12)</x:f>
        <x:v/>
      </x:c>
      <x:c r="B52" s="156" t="str">
        <x: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x:f>
        <x:v/>
      </x:c>
      <x:c r="C52" s="156" t="str">
        <x:f>IF(D52="","",IF(OR(D52="교육지원과",D52="총무과",D52="인사과"),"직접입력",VLOOKUP(D52,구분표!$A$3:$C$258,3,)))</x:f>
        <x:v/>
      </x:c>
      <x:c r="D52" s="226"/>
      <x:c r="E52" s="213"/>
      <x:c r="F52" s="388" t="str">
        <x:f>IF($E52="","",IF($E52="2추","직접입력","-"))</x:f>
        <x:v/>
      </x:c>
      <x:c r="G52" s="388" t="str">
        <x:f>IF($E52="","",IF($E52="2추","직접입력","-"))</x:f>
        <x:v/>
      </x:c>
      <x:c r="H52" s="214"/>
      <x:c r="I52" s="237" t="str">
        <x:f>IF(H52="","",VLOOKUP($H52,구분표!$O$3:$P$168,2,FALSE))</x:f>
        <x:v/>
      </x:c>
      <x:c r="J52" s="215"/>
      <x:c r="K52" s="459" t="str">
        <x:f>IF($E52="","",IF(OR($E52="2추",$E52="1추",$E52="본예산"),"금액입력","-"))</x:f>
        <x:v/>
      </x:c>
      <x:c r="L52" s="459" t="str">
        <x:f>IF($E52="","",IF($E52="2추","금액입력","-"))</x:f>
        <x:v/>
      </x:c>
      <x:c r="M52" s="461" t="str">
        <x:f t="shared" ref="M52:M54" si="205">IF($E52="","",SUM(K52:L52))</x:f>
        <x:v/>
      </x:c>
      <x:c r="N52" s="460"/>
      <x:c r="O52" s="461">
        <x:f t="shared" ref="O52:O54" si="206">SUM(M52:N52)</x:f>
        <x:v>0</x:v>
      </x:c>
      <x:c r="P52" s="462"/>
      <x:c r="Q52" s="463">
        <x:f t="shared" ref="Q52:Q54" si="207">SUM(M52,P52)</x:f>
        <x:v>0</x:v>
      </x:c>
      <x:c r="R52" s="162" t="str">
        <x:f t="shared" ref="R52:R54" si="208">IF(AND((O52=0),(Q52&gt;0)),"O",IF(AND((N52&lt;0),(O52-Q52&lt;0)),"O","X"))</x:f>
        <x:v>X</x:v>
      </x:c>
      <x:c r="S52" s="230"/>
      <x:c r="T52" s="225"/>
      <x:c r="U52" s="217"/>
      <x:c r="V52" s="203"/>
      <x:c r="W52" s="162" t="str">
        <x:f t="shared" ref="W52:W54" si="209">IF($H52="","",IF(OR($H52="511-01",$H52="511-02",$H52="511-03",$H52="311-02",$H52="311-04",$H52="321-01"),"국도비","도비"))</x:f>
        <x:v/>
      </x:c>
      <x:c r="X52" s="217"/>
      <x:c r="Y52" s="45"/>
      <x:c r="Z52" s="508" t="str">
        <x:f t="shared" ref="Z52:Z54" si="210">IF($W52="","",IF($W52="국도비",$N52,0))</x:f>
        <x:v/>
      </x:c>
      <x:c r="AA52" s="508" t="str">
        <x:f t="shared" ref="AA52:AA54" si="211">IF($W52="","",IF($W52="도비",$N52,0))</x:f>
        <x:v/>
      </x:c>
      <x:c r="AB52" s="374" t="str">
        <x:f t="shared" ref="AB52:AB54" si="212">IF($W52="","",IF($N52=SUM($Z52:$AA52),"OK","@@"))</x:f>
        <x:v/>
      </x:c>
      <x:c r="AC52" s="46"/>
      <x:c r="AD52" s="508" t="str">
        <x:f t="shared" ref="AD52:AD54" si="213">IF($W52="","",IF($W52="국도비",$P52,0))</x:f>
        <x:v/>
      </x:c>
      <x:c r="AE52" s="508" t="str">
        <x:f t="shared" ref="AE52:AE54" si="214">IF($W52="","",IF($W52="도비",$P52,0))</x:f>
        <x:v/>
      </x:c>
      <x:c r="AF52" s="374" t="str">
        <x:f t="shared" ref="AF52:AF54" si="215">IF($W52="","",IF($P52=SUM($AD52:$AE52),"OK","@@"))</x:f>
        <x:v/>
      </x:c>
      <x:c r="AG52" s="46"/>
      <x:c r="AH52" s="374" t="str">
        <x:f>IF(AK52="","",IF($W52="도비","-",CONCATENATE(AK52,"-",COUNTIF(AK$7:$AK52,AK52))))</x:f>
        <x:v/>
      </x:c>
      <x:c r="AI52" s="374" t="str">
        <x:f t="shared" ref="AI52:AI54" si="216">IF($H52="","",IF($H52="511-01","국비",IF($H52="511-02","균특",IF($H52="511-03","기금",IF($H52="311-02","특교",IF($H52="311-04","소교",IF($H52="321-01","소멸","도비")))))))</x:f>
        <x:v/>
      </x:c>
      <x:c r="AJ52" s="46"/>
      <x:c r="AK52" s="374" t="str">
        <x:f t="array" ref="AK52:AK52">IF(OR($D52="",$C52="직접입력",$B52="직접입력"),"",INDEX(구분표!$I$2:$I$337,MATCH(1,(구분표!$G$2:$G$337='5. 기입'!$B52)*(구분표!$E$2:$E$337='5. 기입'!$C52)*(구분표!$F$2:$F$337='5. 기입'!$D52),0)))</x:f>
        <x:v/>
      </x:c>
      <x:c r="AL52" s="47"/>
      <x:c r="AM52" s="472" t="str">
        <x:f>IF($AH52="","",IF($AH52="-",0,SUMIFS('5. 기출'!$AB$7:$AB$2012,'5. 기출'!$AJ$7:$AJ$2012,$AH52)))</x:f>
        <x:v/>
      </x:c>
      <x:c r="AN52" s="377" t="str">
        <x:f>IF($AH52="","",IF($AH52="-",0,COUNTIF('5. 기출'!$AJ$7:$AJ$2012,$AH52)))</x:f>
        <x:v/>
      </x:c>
      <x:c r="AO52" s="374" t="str">
        <x:f t="shared" ref="AO52:AO54" si="217">IF($AH52="","",IF($Z52=$AM52,"OK","@@"))</x:f>
        <x:v/>
      </x:c>
      <x:c r="AP52" s="47"/>
      <x:c r="AQ52" s="472" t="str">
        <x:f>IF($AH52="","",IF($AH52="-",0,SUMIFS('5. 기출'!$AF$7:$AF$2012,'5. 기출'!$AJ$7:$AJ$2012,$AH52)))</x:f>
        <x:v/>
      </x:c>
      <x:c r="AR52" s="377" t="str">
        <x:f>IF($AH52="","",IF($AH52="-",0,COUNTIF('5. 기출'!$AJ$7:$AJ$2012,$AH52)))</x:f>
        <x:v/>
      </x:c>
      <x:c r="AS52" s="374" t="str">
        <x:f t="shared" ref="AS52:AS54" si="218">IF($AH52="","",IF($AD52=$AQ52,"OK","@@"))</x:f>
        <x:v/>
      </x:c>
    </x:row>
    <x:row r="53" spans="1:45" s="20" customFormat="1" ht="80.099999999999994" customHeight="1">
      <x:c r="A53" s="155" t="str">
        <x:f>IF(D53="","",COUNTA($C$7:C53)-COUNTBLANK($C$7:C53)+12)</x:f>
        <x:v/>
      </x:c>
      <x:c r="B53" s="156" t="str">
        <x: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x:f>
        <x:v/>
      </x:c>
      <x:c r="C53" s="156" t="str">
        <x:f>IF(D53="","",IF(OR(D53="교육지원과",D53="총무과",D53="인사과"),"직접입력",VLOOKUP(D53,구분표!$A$3:$C$258,3,)))</x:f>
        <x:v/>
      </x:c>
      <x:c r="D53" s="226"/>
      <x:c r="E53" s="213"/>
      <x:c r="F53" s="388" t="str">
        <x:f t="shared" ref="F53:G54" si="219">IF($E53="","",IF($E53="2추","직접입력","-"))</x:f>
        <x:v/>
      </x:c>
      <x:c r="G53" s="388" t="str">
        <x:f t="shared" si="219"/>
        <x:v/>
      </x:c>
      <x:c r="H53" s="214"/>
      <x:c r="I53" s="237" t="str">
        <x:f>IF(H53="","",VLOOKUP($H53,구분표!$O$3:$P$168,2,FALSE))</x:f>
        <x:v/>
      </x:c>
      <x:c r="J53" s="215"/>
      <x:c r="K53" s="459" t="str">
        <x:f t="shared" ref="K53:K54" si="220">IF($E53="","",IF(OR($E53="2추",$E53="1추",$E53="본예산"),"금액입력","-"))</x:f>
        <x:v/>
      </x:c>
      <x:c r="L53" s="459" t="str">
        <x:f t="shared" ref="L53:L54" si="221">IF($E53="","",IF($E53="2추","금액입력","-"))</x:f>
        <x:v/>
      </x:c>
      <x:c r="M53" s="461" t="str">
        <x:f t="shared" si="205"/>
        <x:v/>
      </x:c>
      <x:c r="N53" s="460"/>
      <x:c r="O53" s="461">
        <x:f t="shared" si="206"/>
        <x:v>0</x:v>
      </x:c>
      <x:c r="P53" s="462"/>
      <x:c r="Q53" s="463">
        <x:f t="shared" si="207"/>
        <x:v>0</x:v>
      </x:c>
      <x:c r="R53" s="162" t="str">
        <x:f t="shared" si="208"/>
        <x:v>X</x:v>
      </x:c>
      <x:c r="S53" s="230"/>
      <x:c r="T53" s="225"/>
      <x:c r="U53" s="217"/>
      <x:c r="V53" s="203"/>
      <x:c r="W53" s="162" t="str">
        <x:f t="shared" si="209"/>
        <x:v/>
      </x:c>
      <x:c r="X53" s="217"/>
      <x:c r="Y53" s="45"/>
      <x:c r="Z53" s="508" t="str">
        <x:f t="shared" si="210"/>
        <x:v/>
      </x:c>
      <x:c r="AA53" s="508" t="str">
        <x:f t="shared" si="211"/>
        <x:v/>
      </x:c>
      <x:c r="AB53" s="374" t="str">
        <x:f t="shared" si="212"/>
        <x:v/>
      </x:c>
      <x:c r="AC53" s="46"/>
      <x:c r="AD53" s="508" t="str">
        <x:f t="shared" si="213"/>
        <x:v/>
      </x:c>
      <x:c r="AE53" s="508" t="str">
        <x:f t="shared" si="214"/>
        <x:v/>
      </x:c>
      <x:c r="AF53" s="374" t="str">
        <x:f t="shared" si="215"/>
        <x:v/>
      </x:c>
      <x:c r="AG53" s="46"/>
      <x:c r="AH53" s="374" t="str">
        <x:f>IF(AK53="","",IF($W53="도비","-",CONCATENATE(AK53,"-",COUNTIF(AK$7:$AK53,AK53))))</x:f>
        <x:v/>
      </x:c>
      <x:c r="AI53" s="374" t="str">
        <x:f t="shared" si="216"/>
        <x:v/>
      </x:c>
      <x:c r="AJ53" s="46"/>
      <x:c r="AK53" s="374" t="str">
        <x:f t="array" ref="AK53:AK53">IF(OR($D53="",$C53="직접입력",$B53="직접입력"),"",INDEX(구분표!$I$2:$I$337,MATCH(1,(구분표!$G$2:$G$337='5. 기입'!$B53)*(구분표!$E$2:$E$337='5. 기입'!$C53)*(구분표!$F$2:$F$337='5. 기입'!$D53),0)))</x:f>
        <x:v/>
      </x:c>
      <x:c r="AL53" s="47"/>
      <x:c r="AM53" s="472" t="str">
        <x:f>IF($AH53="","",IF($AH53="-",0,SUMIFS('5. 기출'!$AB$7:$AB$2012,'5. 기출'!$AJ$7:$AJ$2012,$AH53)))</x:f>
        <x:v/>
      </x:c>
      <x:c r="AN53" s="377" t="str">
        <x:f>IF($AH53="","",IF($AH53="-",0,COUNTIF('5. 기출'!$AJ$7:$AJ$2012,$AH53)))</x:f>
        <x:v/>
      </x:c>
      <x:c r="AO53" s="374" t="str">
        <x:f t="shared" si="217"/>
        <x:v/>
      </x:c>
      <x:c r="AP53" s="47"/>
      <x:c r="AQ53" s="472" t="str">
        <x:f>IF($AH53="","",IF($AH53="-",0,SUMIFS('5. 기출'!$AF$7:$AF$2012,'5. 기출'!$AJ$7:$AJ$2012,$AH53)))</x:f>
        <x:v/>
      </x:c>
      <x:c r="AR53" s="377" t="str">
        <x:f>IF($AH53="","",IF($AH53="-",0,COUNTIF('5. 기출'!$AJ$7:$AJ$2012,$AH53)))</x:f>
        <x:v/>
      </x:c>
      <x:c r="AS53" s="374" t="str">
        <x:f t="shared" si="218"/>
        <x:v/>
      </x:c>
    </x:row>
    <x:row r="54" spans="1:45" s="20" customFormat="1" ht="80.099999999999994" customHeight="1">
      <x:c r="A54" s="155" t="str">
        <x:f>IF(D54="","",COUNTA($C$7:C54)-COUNTBLANK($C$7:C54)+12)</x:f>
        <x:v/>
      </x:c>
      <x:c r="B54" s="156" t="str">
        <x: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x:f>
        <x:v/>
      </x:c>
      <x:c r="C54" s="156" t="str">
        <x:f>IF(D54="","",IF(OR(D54="교육지원과",D54="총무과",D54="인사과"),"직접입력",VLOOKUP(D54,구분표!$A$3:$C$258,3,)))</x:f>
        <x:v/>
      </x:c>
      <x:c r="D54" s="226"/>
      <x:c r="E54" s="213"/>
      <x:c r="F54" s="388" t="str">
        <x:f t="shared" si="219"/>
        <x:v/>
      </x:c>
      <x:c r="G54" s="388" t="str">
        <x:f t="shared" si="219"/>
        <x:v/>
      </x:c>
      <x:c r="H54" s="214"/>
      <x:c r="I54" s="237" t="str">
        <x:f>IF(H54="","",VLOOKUP($H54,구분표!$O$3:$P$168,2,FALSE))</x:f>
        <x:v/>
      </x:c>
      <x:c r="J54" s="215"/>
      <x:c r="K54" s="459" t="str">
        <x:f t="shared" si="220"/>
        <x:v/>
      </x:c>
      <x:c r="L54" s="459" t="str">
        <x:f t="shared" si="221"/>
        <x:v/>
      </x:c>
      <x:c r="M54" s="461" t="str">
        <x:f t="shared" si="205"/>
        <x:v/>
      </x:c>
      <x:c r="N54" s="460"/>
      <x:c r="O54" s="461">
        <x:f t="shared" si="206"/>
        <x:v>0</x:v>
      </x:c>
      <x:c r="P54" s="462"/>
      <x:c r="Q54" s="463">
        <x:f t="shared" si="207"/>
        <x:v>0</x:v>
      </x:c>
      <x:c r="R54" s="162" t="str">
        <x:f t="shared" si="208"/>
        <x:v>X</x:v>
      </x:c>
      <x:c r="S54" s="230"/>
      <x:c r="T54" s="225"/>
      <x:c r="U54" s="217"/>
      <x:c r="V54" s="203"/>
      <x:c r="W54" s="162" t="str">
        <x:f t="shared" si="209"/>
        <x:v/>
      </x:c>
      <x:c r="X54" s="217"/>
      <x:c r="Y54" s="45"/>
      <x:c r="Z54" s="508" t="str">
        <x:f t="shared" si="210"/>
        <x:v/>
      </x:c>
      <x:c r="AA54" s="508" t="str">
        <x:f t="shared" si="211"/>
        <x:v/>
      </x:c>
      <x:c r="AB54" s="374" t="str">
        <x:f t="shared" si="212"/>
        <x:v/>
      </x:c>
      <x:c r="AC54" s="46"/>
      <x:c r="AD54" s="508" t="str">
        <x:f t="shared" si="213"/>
        <x:v/>
      </x:c>
      <x:c r="AE54" s="508" t="str">
        <x:f t="shared" si="214"/>
        <x:v/>
      </x:c>
      <x:c r="AF54" s="374" t="str">
        <x:f t="shared" si="215"/>
        <x:v/>
      </x:c>
      <x:c r="AG54" s="46"/>
      <x:c r="AH54" s="374" t="str">
        <x:f>IF(AK54="","",IF($W54="도비","-",CONCATENATE(AK54,"-",COUNTIF(AK$7:$AK54,AK54))))</x:f>
        <x:v/>
      </x:c>
      <x:c r="AI54" s="374" t="str">
        <x:f t="shared" si="216"/>
        <x:v/>
      </x:c>
      <x:c r="AJ54" s="46"/>
      <x:c r="AK54" s="374" t="str">
        <x:f t="array" ref="AK54:AK54">IF(OR($D54="",$C54="직접입력",$B54="직접입력"),"",INDEX(구분표!$I$2:$I$337,MATCH(1,(구분표!$G$2:$G$337='5. 기입'!$B54)*(구분표!$E$2:$E$337='5. 기입'!$C54)*(구분표!$F$2:$F$337='5. 기입'!$D54),0)))</x:f>
        <x:v/>
      </x:c>
      <x:c r="AL54" s="47"/>
      <x:c r="AM54" s="472" t="str">
        <x:f>IF($AH54="","",IF($AH54="-",0,SUMIFS('5. 기출'!$AB$7:$AB$2012,'5. 기출'!$AJ$7:$AJ$2012,$AH54)))</x:f>
        <x:v/>
      </x:c>
      <x:c r="AN54" s="377" t="str">
        <x:f>IF($AH54="","",IF($AH54="-",0,COUNTIF('5. 기출'!$AJ$7:$AJ$2012,$AH54)))</x:f>
        <x:v/>
      </x:c>
      <x:c r="AO54" s="374" t="str">
        <x:f t="shared" si="217"/>
        <x:v/>
      </x:c>
      <x:c r="AP54" s="47"/>
      <x:c r="AQ54" s="472" t="str">
        <x:f>IF($AH54="","",IF($AH54="-",0,SUMIFS('5. 기출'!$AF$7:$AF$2012,'5. 기출'!$AJ$7:$AJ$2012,$AH54)))</x:f>
        <x:v/>
      </x:c>
      <x:c r="AR54" s="377" t="str">
        <x:f>IF($AH54="","",IF($AH54="-",0,COUNTIF('5. 기출'!$AJ$7:$AJ$2012,$AH54)))</x:f>
        <x:v/>
      </x:c>
      <x:c r="AS54" s="374" t="str">
        <x:f t="shared" si="218"/>
        <x:v/>
      </x:c>
    </x:row>
    <x:row r="55" spans="1:45" ht="60" customHeight="1">
      <x:c r="A55" s="171"/>
      <x:c r="B55" s="888" t="s">
        <x:v>860</x:v>
      </x:c>
      <x:c r="C55" s="888"/>
      <x:c r="D55" s="888"/>
      <x:c r="E55" s="888"/>
      <x:c r="F55" s="888"/>
      <x:c r="G55" s="888"/>
      <x:c r="H55" s="79"/>
      <x:c r="I55" s="79"/>
      <x:c r="J55" s="349" t="str">
        <x:f>SUBTOTAL(3,J56:J58)&amp;"건"</x:f>
        <x:v>0건</x:v>
      </x:c>
      <x:c r="K55" s="458">
        <x:f t="shared" ref="K55:Q55" si="222">SUBTOTAL(9,K56:K58)</x:f>
        <x:v>0</x:v>
      </x:c>
      <x:c r="L55" s="458">
        <x:f t="shared" si="222"/>
        <x:v>0</x:v>
      </x:c>
      <x:c r="M55" s="458">
        <x:f t="shared" si="222"/>
        <x:v>0</x:v>
      </x:c>
      <x:c r="N55" s="458">
        <x:f t="shared" si="222"/>
        <x:v>0</x:v>
      </x:c>
      <x:c r="O55" s="458">
        <x:f t="shared" si="222"/>
        <x:v>0</x:v>
      </x:c>
      <x:c r="P55" s="458">
        <x:f t="shared" si="222"/>
        <x:v>0</x:v>
      </x:c>
      <x:c r="Q55" s="458">
        <x:f t="shared" si="222"/>
        <x:v>0</x:v>
      </x:c>
      <x:c r="R55" s="78"/>
      <x:c r="S55" s="78"/>
      <x:c r="T55" s="78"/>
      <x:c r="U55" s="78"/>
      <x:c r="V55" s="78"/>
      <x:c r="W55" s="80"/>
      <x:c r="X55" s="80"/>
      <x:c r="Y55" s="43"/>
      <x:c r="Z55" s="458">
        <x:f>SUBTOTAL(9,Z56:Z58)</x:f>
        <x:v>0</x:v>
      </x:c>
      <x:c r="AA55" s="458">
        <x:f>SUBTOTAL(9,AA56:AA58)</x:f>
        <x:v>0</x:v>
      </x:c>
      <x:c r="AB55" s="556" t="str">
        <x:f>IF(COUNTIF(AB56:AB58,"@@")&gt;0,"@@","OK")</x:f>
        <x:v>OK</x:v>
      </x:c>
      <x:c r="AC55" s="44"/>
      <x:c r="AD55" s="458">
        <x:f>SUBTOTAL(9,AD56:AD58)</x:f>
        <x:v>0</x:v>
      </x:c>
      <x:c r="AE55" s="458">
        <x:f>SUBTOTAL(9,AE56:AE58)</x:f>
        <x:v>0</x:v>
      </x:c>
      <x:c r="AF55" s="556" t="str">
        <x:f>IF(COUNTIF(AF56:AF58,"@@")&gt;0,"@@","OK")</x:f>
        <x:v>OK</x:v>
      </x:c>
      <x:c r="AG55" s="44"/>
      <x:c r="AH55" s="171"/>
      <x:c r="AI55" s="171"/>
      <x:c r="AJ55" s="44"/>
      <x:c r="AK55" s="171"/>
      <x:c r="AL55" s="44"/>
      <x:c r="AM55" s="458">
        <x:f>SUBTOTAL(9,AM56:AM58)</x:f>
        <x:v>0</x:v>
      </x:c>
      <x:c r="AN55" s="458">
        <x:f>SUBTOTAL(9,AN56:AN58)</x:f>
        <x:v>0</x:v>
      </x:c>
      <x:c r="AO55" s="556" t="str">
        <x:f>IF(COUNTIF(AO56:AO58,"@@")&gt;0,"@@","OK")</x:f>
        <x:v>OK</x:v>
      </x:c>
      <x:c r="AP55" s="44"/>
      <x:c r="AQ55" s="458">
        <x:f>SUBTOTAL(9,AQ56:AQ58)</x:f>
        <x:v>0</x:v>
      </x:c>
      <x:c r="AR55" s="458">
        <x:f>SUBTOTAL(9,AR56:AR58)</x:f>
        <x:v>0</x:v>
      </x:c>
      <x:c r="AS55" s="556" t="str">
        <x:f>IF(COUNTIF(AS56:AS58,"@@")&gt;0,"@@","OK")</x:f>
        <x:v>OK</x:v>
      </x:c>
    </x:row>
    <x:row r="56" spans="1:45" s="20" customFormat="1" ht="80.099999999999994" customHeight="1">
      <x:c r="A56" s="155" t="str">
        <x:f>IF(D56="","",COUNTA($C$7:C56)-COUNTBLANK($C$7:C56)+13)</x:f>
        <x:v/>
      </x:c>
      <x:c r="B56" s="156" t="str">
        <x: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x:f>
        <x:v/>
      </x:c>
      <x:c r="C56" s="156" t="str">
        <x:f>IF(D56="","",IF(OR(D56="교육지원과",D56="총무과",D56="인사과"),"직접입력",VLOOKUP(D56,구분표!$A$3:$C$258,3,)))</x:f>
        <x:v/>
      </x:c>
      <x:c r="D56" s="226"/>
      <x:c r="E56" s="213"/>
      <x:c r="F56" s="388" t="str">
        <x:f>IF($E56="","",IF($E56="2추","직접입력","-"))</x:f>
        <x:v/>
      </x:c>
      <x:c r="G56" s="388" t="str">
        <x:f>IF($E56="","",IF($E56="2추","직접입력","-"))</x:f>
        <x:v/>
      </x:c>
      <x:c r="H56" s="214"/>
      <x:c r="I56" s="237" t="str">
        <x:f>IF(H56="","",VLOOKUP($H56,구분표!$O$3:$P$168,2,FALSE))</x:f>
        <x:v/>
      </x:c>
      <x:c r="J56" s="215"/>
      <x:c r="K56" s="459" t="str">
        <x:f>IF($E56="","",IF(OR($E56="2추",$E56="1추",$E56="본예산"),"금액입력","-"))</x:f>
        <x:v/>
      </x:c>
      <x:c r="L56" s="459" t="str">
        <x:f>IF($E56="","",IF($E56="2추","금액입력","-"))</x:f>
        <x:v/>
      </x:c>
      <x:c r="M56" s="461" t="str">
        <x:f t="shared" ref="M56:M58" si="223">IF($E56="","",SUM(K56:L56))</x:f>
        <x:v/>
      </x:c>
      <x:c r="N56" s="460"/>
      <x:c r="O56" s="461">
        <x:f t="shared" ref="O56:O58" si="224">SUM(M56:N56)</x:f>
        <x:v>0</x:v>
      </x:c>
      <x:c r="P56" s="462"/>
      <x:c r="Q56" s="463">
        <x:f t="shared" ref="Q56:Q58" si="225">SUM(M56,P56)</x:f>
        <x:v>0</x:v>
      </x:c>
      <x:c r="R56" s="162" t="str">
        <x:f t="shared" ref="R56:R58" si="226">IF(AND((O56=0),(Q56&gt;0)),"O",IF(AND((N56&lt;0),(O56-Q56&lt;0)),"O","X"))</x:f>
        <x:v>X</x:v>
      </x:c>
      <x:c r="S56" s="230"/>
      <x:c r="T56" s="225"/>
      <x:c r="U56" s="217"/>
      <x:c r="V56" s="203"/>
      <x:c r="W56" s="162" t="str">
        <x:f t="shared" ref="W56:W58" si="227">IF($H56="","",IF(OR($H56="511-01",$H56="511-02",$H56="511-03",$H56="311-02",$H56="311-04",$H56="321-01"),"국도비","도비"))</x:f>
        <x:v/>
      </x:c>
      <x:c r="X56" s="217"/>
      <x:c r="Y56" s="45"/>
      <x:c r="Z56" s="508" t="str">
        <x:f t="shared" ref="Z56:Z58" si="228">IF($W56="","",IF($W56="국도비",$N56,0))</x:f>
        <x:v/>
      </x:c>
      <x:c r="AA56" s="508" t="str">
        <x:f t="shared" ref="AA56:AA58" si="229">IF($W56="","",IF($W56="도비",$N56,0))</x:f>
        <x:v/>
      </x:c>
      <x:c r="AB56" s="374" t="str">
        <x:f t="shared" ref="AB56:AB58" si="230">IF($W56="","",IF($N56=SUM($Z56:$AA56),"OK","@@"))</x:f>
        <x:v/>
      </x:c>
      <x:c r="AC56" s="46"/>
      <x:c r="AD56" s="508" t="str">
        <x:f t="shared" ref="AD56:AD58" si="231">IF($W56="","",IF($W56="국도비",$P56,0))</x:f>
        <x:v/>
      </x:c>
      <x:c r="AE56" s="508" t="str">
        <x:f t="shared" ref="AE56:AE58" si="232">IF($W56="","",IF($W56="도비",$P56,0))</x:f>
        <x:v/>
      </x:c>
      <x:c r="AF56" s="374" t="str">
        <x:f t="shared" ref="AF56:AF58" si="233">IF($W56="","",IF($P56=SUM($AD56:$AE56),"OK","@@"))</x:f>
        <x:v/>
      </x:c>
      <x:c r="AG56" s="46"/>
      <x:c r="AH56" s="374" t="str">
        <x:f>IF(AK56="","",IF($W56="도비","-",CONCATENATE(AK56,"-",COUNTIF(AK$7:$AK56,AK56))))</x:f>
        <x:v/>
      </x:c>
      <x:c r="AI56" s="374" t="str">
        <x:f t="shared" ref="AI56:AI58" si="234">IF($H56="","",IF($H56="511-01","국비",IF($H56="511-02","균특",IF($H56="511-03","기금",IF($H56="311-02","특교",IF($H56="311-04","소교",IF($H56="321-01","소멸","도비")))))))</x:f>
        <x:v/>
      </x:c>
      <x:c r="AJ56" s="46"/>
      <x:c r="AK56" s="374" t="str">
        <x:f t="array" ref="AK56:AK56">IF(OR($D56="",$C56="직접입력",$B56="직접입력"),"",INDEX(구분표!$I$2:$I$337,MATCH(1,(구분표!$G$2:$G$337='5. 기입'!$B56)*(구분표!$E$2:$E$337='5. 기입'!$C56)*(구분표!$F$2:$F$337='5. 기입'!$D56),0)))</x:f>
        <x:v/>
      </x:c>
      <x:c r="AL56" s="47"/>
      <x:c r="AM56" s="472" t="str">
        <x:f>IF($AH56="","",IF($AH56="-",0,SUMIFS('5. 기출'!$AB$7:$AB$2012,'5. 기출'!$AJ$7:$AJ$2012,$AH56)))</x:f>
        <x:v/>
      </x:c>
      <x:c r="AN56" s="377" t="str">
        <x:f>IF($AH56="","",IF($AH56="-",0,COUNTIF('5. 기출'!$AJ$7:$AJ$2012,$AH56)))</x:f>
        <x:v/>
      </x:c>
      <x:c r="AO56" s="374" t="str">
        <x:f t="shared" ref="AO56:AO58" si="235">IF($AH56="","",IF($Z56=$AM56,"OK","@@"))</x:f>
        <x:v/>
      </x:c>
      <x:c r="AP56" s="47"/>
      <x:c r="AQ56" s="472" t="str">
        <x:f>IF($AH56="","",IF($AH56="-",0,SUMIFS('5. 기출'!$AF$7:$AF$2012,'5. 기출'!$AJ$7:$AJ$2012,$AH56)))</x:f>
        <x:v/>
      </x:c>
      <x:c r="AR56" s="377" t="str">
        <x:f>IF($AH56="","",IF($AH56="-",0,COUNTIF('5. 기출'!$AJ$7:$AJ$2012,$AH56)))</x:f>
        <x:v/>
      </x:c>
      <x:c r="AS56" s="374" t="str">
        <x:f t="shared" ref="AS56:AS58" si="236">IF($AH56="","",IF($AD56=$AQ56,"OK","@@"))</x:f>
        <x:v/>
      </x:c>
    </x:row>
    <x:row r="57" spans="1:45" s="20" customFormat="1" ht="80.099999999999994" customHeight="1">
      <x:c r="A57" s="155" t="str">
        <x:f>IF(D57="","",COUNTA($C$7:C57)-COUNTBLANK($C$7:C57)+13)</x:f>
        <x:v/>
      </x:c>
      <x:c r="B57" s="156" t="str">
        <x: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x:f>
        <x:v/>
      </x:c>
      <x:c r="C57" s="156" t="str">
        <x:f>IF(D57="","",IF(OR(D57="교육지원과",D57="총무과",D57="인사과"),"직접입력",VLOOKUP(D57,구분표!$A$3:$C$258,3,)))</x:f>
        <x:v/>
      </x:c>
      <x:c r="D57" s="226"/>
      <x:c r="E57" s="213"/>
      <x:c r="F57" s="388" t="str">
        <x:f t="shared" ref="F57:G58" si="237">IF($E57="","",IF($E57="2추","직접입력","-"))</x:f>
        <x:v/>
      </x:c>
      <x:c r="G57" s="388" t="str">
        <x:f t="shared" si="237"/>
        <x:v/>
      </x:c>
      <x:c r="H57" s="214"/>
      <x:c r="I57" s="237" t="str">
        <x:f>IF(H57="","",VLOOKUP($H57,구분표!$O$3:$P$168,2,FALSE))</x:f>
        <x:v/>
      </x:c>
      <x:c r="J57" s="215"/>
      <x:c r="K57" s="459" t="str">
        <x:f t="shared" ref="K57:K58" si="238">IF($E57="","",IF(OR($E57="2추",$E57="1추",$E57="본예산"),"금액입력","-"))</x:f>
        <x:v/>
      </x:c>
      <x:c r="L57" s="459" t="str">
        <x:f t="shared" ref="L57:L58" si="239">IF($E57="","",IF($E57="2추","금액입력","-"))</x:f>
        <x:v/>
      </x:c>
      <x:c r="M57" s="461" t="str">
        <x:f t="shared" si="223"/>
        <x:v/>
      </x:c>
      <x:c r="N57" s="460"/>
      <x:c r="O57" s="461">
        <x:f t="shared" si="224"/>
        <x:v>0</x:v>
      </x:c>
      <x:c r="P57" s="462"/>
      <x:c r="Q57" s="463">
        <x:f t="shared" si="225"/>
        <x:v>0</x:v>
      </x:c>
      <x:c r="R57" s="162" t="str">
        <x:f t="shared" si="226"/>
        <x:v>X</x:v>
      </x:c>
      <x:c r="S57" s="230"/>
      <x:c r="T57" s="225"/>
      <x:c r="U57" s="217"/>
      <x:c r="V57" s="203"/>
      <x:c r="W57" s="162" t="str">
        <x:f t="shared" si="227"/>
        <x:v/>
      </x:c>
      <x:c r="X57" s="217"/>
      <x:c r="Y57" s="45"/>
      <x:c r="Z57" s="508" t="str">
        <x:f t="shared" si="228"/>
        <x:v/>
      </x:c>
      <x:c r="AA57" s="508" t="str">
        <x:f t="shared" si="229"/>
        <x:v/>
      </x:c>
      <x:c r="AB57" s="374" t="str">
        <x:f t="shared" si="230"/>
        <x:v/>
      </x:c>
      <x:c r="AC57" s="46"/>
      <x:c r="AD57" s="508" t="str">
        <x:f t="shared" si="231"/>
        <x:v/>
      </x:c>
      <x:c r="AE57" s="508" t="str">
        <x:f t="shared" si="232"/>
        <x:v/>
      </x:c>
      <x:c r="AF57" s="374" t="str">
        <x:f t="shared" si="233"/>
        <x:v/>
      </x:c>
      <x:c r="AG57" s="46"/>
      <x:c r="AH57" s="374" t="str">
        <x:f>IF(AK57="","",IF($W57="도비","-",CONCATENATE(AK57,"-",COUNTIF(AK$7:$AK57,AK57))))</x:f>
        <x:v/>
      </x:c>
      <x:c r="AI57" s="374" t="str">
        <x:f t="shared" si="234"/>
        <x:v/>
      </x:c>
      <x:c r="AJ57" s="46"/>
      <x:c r="AK57" s="374" t="str">
        <x:f t="array" ref="AK57:AK57">IF(OR($D57="",$C57="직접입력",$B57="직접입력"),"",INDEX(구분표!$I$2:$I$337,MATCH(1,(구분표!$G$2:$G$337='5. 기입'!$B57)*(구분표!$E$2:$E$337='5. 기입'!$C57)*(구분표!$F$2:$F$337='5. 기입'!$D57),0)))</x:f>
        <x:v/>
      </x:c>
      <x:c r="AL57" s="47"/>
      <x:c r="AM57" s="472" t="str">
        <x:f>IF($AH57="","",IF($AH57="-",0,SUMIFS('5. 기출'!$AB$7:$AB$2012,'5. 기출'!$AJ$7:$AJ$2012,$AH57)))</x:f>
        <x:v/>
      </x:c>
      <x:c r="AN57" s="377" t="str">
        <x:f>IF($AH57="","",IF($AH57="-",0,COUNTIF('5. 기출'!$AJ$7:$AJ$2012,$AH57)))</x:f>
        <x:v/>
      </x:c>
      <x:c r="AO57" s="374" t="str">
        <x:f t="shared" si="235"/>
        <x:v/>
      </x:c>
      <x:c r="AP57" s="47"/>
      <x:c r="AQ57" s="472" t="str">
        <x:f>IF($AH57="","",IF($AH57="-",0,SUMIFS('5. 기출'!$AF$7:$AF$2012,'5. 기출'!$AJ$7:$AJ$2012,$AH57)))</x:f>
        <x:v/>
      </x:c>
      <x:c r="AR57" s="377" t="str">
        <x:f>IF($AH57="","",IF($AH57="-",0,COUNTIF('5. 기출'!$AJ$7:$AJ$2012,$AH57)))</x:f>
        <x:v/>
      </x:c>
      <x:c r="AS57" s="374" t="str">
        <x:f t="shared" si="236"/>
        <x:v/>
      </x:c>
    </x:row>
    <x:row r="58" spans="1:45" s="20" customFormat="1" ht="80.099999999999994" customHeight="1">
      <x:c r="A58" s="155" t="str">
        <x:f>IF(D58="","",COUNTA($C$7:C58)-COUNTBLANK($C$7:C58)+13)</x:f>
        <x:v/>
      </x:c>
      <x:c r="B58" s="156" t="str">
        <x: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x:f>
        <x:v/>
      </x:c>
      <x:c r="C58" s="156" t="str">
        <x:f>IF(D58="","",IF(OR(D58="교육지원과",D58="총무과",D58="인사과"),"직접입력",VLOOKUP(D58,구분표!$A$3:$C$258,3,)))</x:f>
        <x:v/>
      </x:c>
      <x:c r="D58" s="226"/>
      <x:c r="E58" s="213"/>
      <x:c r="F58" s="388" t="str">
        <x:f t="shared" si="237"/>
        <x:v/>
      </x:c>
      <x:c r="G58" s="388" t="str">
        <x:f t="shared" si="237"/>
        <x:v/>
      </x:c>
      <x:c r="H58" s="214"/>
      <x:c r="I58" s="237" t="str">
        <x:f>IF(H58="","",VLOOKUP($H58,구분표!$O$3:$P$168,2,FALSE))</x:f>
        <x:v/>
      </x:c>
      <x:c r="J58" s="215"/>
      <x:c r="K58" s="459" t="str">
        <x:f t="shared" si="238"/>
        <x:v/>
      </x:c>
      <x:c r="L58" s="459" t="str">
        <x:f t="shared" si="239"/>
        <x:v/>
      </x:c>
      <x:c r="M58" s="461" t="str">
        <x:f t="shared" si="223"/>
        <x:v/>
      </x:c>
      <x:c r="N58" s="460"/>
      <x:c r="O58" s="461">
        <x:f t="shared" si="224"/>
        <x:v>0</x:v>
      </x:c>
      <x:c r="P58" s="462"/>
      <x:c r="Q58" s="463">
        <x:f t="shared" si="225"/>
        <x:v>0</x:v>
      </x:c>
      <x:c r="R58" s="162" t="str">
        <x:f t="shared" si="226"/>
        <x:v>X</x:v>
      </x:c>
      <x:c r="S58" s="230"/>
      <x:c r="T58" s="225"/>
      <x:c r="U58" s="217"/>
      <x:c r="V58" s="203"/>
      <x:c r="W58" s="162" t="str">
        <x:f t="shared" si="227"/>
        <x:v/>
      </x:c>
      <x:c r="X58" s="217"/>
      <x:c r="Y58" s="45"/>
      <x:c r="Z58" s="508" t="str">
        <x:f t="shared" si="228"/>
        <x:v/>
      </x:c>
      <x:c r="AA58" s="508" t="str">
        <x:f t="shared" si="229"/>
        <x:v/>
      </x:c>
      <x:c r="AB58" s="374" t="str">
        <x:f t="shared" si="230"/>
        <x:v/>
      </x:c>
      <x:c r="AC58" s="46"/>
      <x:c r="AD58" s="508" t="str">
        <x:f t="shared" si="231"/>
        <x:v/>
      </x:c>
      <x:c r="AE58" s="508" t="str">
        <x:f t="shared" si="232"/>
        <x:v/>
      </x:c>
      <x:c r="AF58" s="374" t="str">
        <x:f t="shared" si="233"/>
        <x:v/>
      </x:c>
      <x:c r="AG58" s="46"/>
      <x:c r="AH58" s="374" t="str">
        <x:f>IF(AK58="","",IF($W58="도비","-",CONCATENATE(AK58,"-",COUNTIF(AK$7:$AK58,AK58))))</x:f>
        <x:v/>
      </x:c>
      <x:c r="AI58" s="374" t="str">
        <x:f t="shared" si="234"/>
        <x:v/>
      </x:c>
      <x:c r="AJ58" s="46"/>
      <x:c r="AK58" s="374" t="str">
        <x:f t="array" ref="AK58:AK58">IF(OR($D58="",$C58="직접입력",$B58="직접입력"),"",INDEX(구분표!$I$2:$I$337,MATCH(1,(구분표!$G$2:$G$337='5. 기입'!$B58)*(구분표!$E$2:$E$337='5. 기입'!$C58)*(구분표!$F$2:$F$337='5. 기입'!$D58),0)))</x:f>
        <x:v/>
      </x:c>
      <x:c r="AL58" s="47"/>
      <x:c r="AM58" s="472" t="str">
        <x:f>IF($AH58="","",IF($AH58="-",0,SUMIFS('5. 기출'!$AB$7:$AB$2012,'5. 기출'!$AJ$7:$AJ$2012,$AH58)))</x:f>
        <x:v/>
      </x:c>
      <x:c r="AN58" s="377" t="str">
        <x:f>IF($AH58="","",IF($AH58="-",0,COUNTIF('5. 기출'!$AJ$7:$AJ$2012,$AH58)))</x:f>
        <x:v/>
      </x:c>
      <x:c r="AO58" s="374" t="str">
        <x:f t="shared" si="235"/>
        <x:v/>
      </x:c>
      <x:c r="AP58" s="47"/>
      <x:c r="AQ58" s="472" t="str">
        <x:f>IF($AH58="","",IF($AH58="-",0,SUMIFS('5. 기출'!$AF$7:$AF$2012,'5. 기출'!$AJ$7:$AJ$2012,$AH58)))</x:f>
        <x:v/>
      </x:c>
      <x:c r="AR58" s="377" t="str">
        <x:f>IF($AH58="","",IF($AH58="-",0,COUNTIF('5. 기출'!$AJ$7:$AJ$2012,$AH58)))</x:f>
        <x:v/>
      </x:c>
      <x:c r="AS58" s="374" t="str">
        <x:f t="shared" si="236"/>
        <x:v/>
      </x:c>
    </x:row>
    <x:row r="59" spans="1:45" ht="60" customHeight="1">
      <x:c r="A59" s="171"/>
      <x:c r="B59" s="888" t="s">
        <x:v>1453</x:v>
      </x:c>
      <x:c r="C59" s="888"/>
      <x:c r="D59" s="888"/>
      <x:c r="E59" s="888"/>
      <x:c r="F59" s="888"/>
      <x:c r="G59" s="888"/>
      <x:c r="H59" s="79"/>
      <x:c r="I59" s="79"/>
      <x:c r="J59" s="349" t="str">
        <x:f>SUBTOTAL(3,J60:J62)&amp;"건"</x:f>
        <x:v>0건</x:v>
      </x:c>
      <x:c r="K59" s="458">
        <x:f t="shared" ref="K59:Q59" si="240">SUBTOTAL(9,K60:K62)</x:f>
        <x:v>0</x:v>
      </x:c>
      <x:c r="L59" s="458">
        <x:f t="shared" si="240"/>
        <x:v>0</x:v>
      </x:c>
      <x:c r="M59" s="458">
        <x:f t="shared" si="240"/>
        <x:v>0</x:v>
      </x:c>
      <x:c r="N59" s="458">
        <x:f t="shared" si="240"/>
        <x:v>0</x:v>
      </x:c>
      <x:c r="O59" s="458">
        <x:f t="shared" si="240"/>
        <x:v>0</x:v>
      </x:c>
      <x:c r="P59" s="458">
        <x:f t="shared" si="240"/>
        <x:v>0</x:v>
      </x:c>
      <x:c r="Q59" s="458">
        <x:f t="shared" si="240"/>
        <x:v>0</x:v>
      </x:c>
      <x:c r="R59" s="78"/>
      <x:c r="S59" s="78"/>
      <x:c r="T59" s="78"/>
      <x:c r="U59" s="78"/>
      <x:c r="V59" s="78"/>
      <x:c r="W59" s="80"/>
      <x:c r="X59" s="80"/>
      <x:c r="Y59" s="43"/>
      <x:c r="Z59" s="458">
        <x:f>SUBTOTAL(9,Z60:Z62)</x:f>
        <x:v>0</x:v>
      </x:c>
      <x:c r="AA59" s="458">
        <x:f>SUBTOTAL(9,AA60:AA62)</x:f>
        <x:v>0</x:v>
      </x:c>
      <x:c r="AB59" s="556" t="str">
        <x:f>IF(COUNTIF(AB60:AB62,"@@")&gt;0,"@@","OK")</x:f>
        <x:v>OK</x:v>
      </x:c>
      <x:c r="AC59" s="44"/>
      <x:c r="AD59" s="458">
        <x:f>SUBTOTAL(9,AD60:AD62)</x:f>
        <x:v>0</x:v>
      </x:c>
      <x:c r="AE59" s="458">
        <x:f>SUBTOTAL(9,AE60:AE62)</x:f>
        <x:v>0</x:v>
      </x:c>
      <x:c r="AF59" s="556" t="str">
        <x:f>IF(COUNTIF(AF60:AF62,"@@")&gt;0,"@@","OK")</x:f>
        <x:v>OK</x:v>
      </x:c>
      <x:c r="AG59" s="44"/>
      <x:c r="AH59" s="171"/>
      <x:c r="AI59" s="171"/>
      <x:c r="AJ59" s="44"/>
      <x:c r="AK59" s="171"/>
      <x:c r="AL59" s="44"/>
      <x:c r="AM59" s="458">
        <x:f>SUBTOTAL(9,AM60:AM62)</x:f>
        <x:v>0</x:v>
      </x:c>
      <x:c r="AN59" s="458">
        <x:f>SUBTOTAL(9,AN60:AN62)</x:f>
        <x:v>0</x:v>
      </x:c>
      <x:c r="AO59" s="556" t="str">
        <x:f>IF(COUNTIF(AO60:AO62,"@@")&gt;0,"@@","OK")</x:f>
        <x:v>OK</x:v>
      </x:c>
      <x:c r="AP59" s="44"/>
      <x:c r="AQ59" s="458">
        <x:f>SUBTOTAL(9,AQ60:AQ62)</x:f>
        <x:v>0</x:v>
      </x:c>
      <x:c r="AR59" s="458">
        <x:f>SUBTOTAL(9,AR60:AR62)</x:f>
        <x:v>0</x:v>
      </x:c>
      <x:c r="AS59" s="556" t="str">
        <x:f>IF(COUNTIF(AS60:AS62,"@@")&gt;0,"@@","OK")</x:f>
        <x:v>OK</x:v>
      </x:c>
    </x:row>
    <x:row r="60" spans="1:45" s="20" customFormat="1" ht="80.099999999999994" customHeight="1">
      <x:c r="A60" s="155" t="str">
        <x:f>IF(D60="","",COUNTA($C$7:C60)-COUNTBLANK($C$7:C60)+14)</x:f>
        <x:v/>
      </x:c>
      <x:c r="B60" s="156" t="str">
        <x: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x:f>
        <x:v/>
      </x:c>
      <x:c r="C60" s="156" t="str">
        <x:f>IF(D60="","",IF(OR(D60="교육지원과",D60="총무과",D60="인사과"),"직접입력",VLOOKUP(D60,구분표!$A$3:$C$258,3,)))</x:f>
        <x:v/>
      </x:c>
      <x:c r="D60" s="226"/>
      <x:c r="E60" s="213"/>
      <x:c r="F60" s="388" t="str">
        <x:f>IF($E60="","",IF($E60="2추","직접입력","-"))</x:f>
        <x:v/>
      </x:c>
      <x:c r="G60" s="388" t="str">
        <x:f>IF($E60="","",IF($E60="2추","직접입력","-"))</x:f>
        <x:v/>
      </x:c>
      <x:c r="H60" s="214"/>
      <x:c r="I60" s="237" t="str">
        <x:f>IF(H60="","",VLOOKUP($H60,구분표!$O$3:$P$168,2,FALSE))</x:f>
        <x:v/>
      </x:c>
      <x:c r="J60" s="215"/>
      <x:c r="K60" s="459" t="str">
        <x:f>IF($E60="","",IF(OR($E60="2추",$E60="1추",$E60="본예산"),"금액입력","-"))</x:f>
        <x:v/>
      </x:c>
      <x:c r="L60" s="459" t="str">
        <x:f>IF($E60="","",IF($E60="2추","금액입력","-"))</x:f>
        <x:v/>
      </x:c>
      <x:c r="M60" s="461" t="str">
        <x:f t="shared" ref="M60:M62" si="241">IF($E60="","",SUM(K60:L60))</x:f>
        <x:v/>
      </x:c>
      <x:c r="N60" s="460"/>
      <x:c r="O60" s="461">
        <x:f t="shared" ref="O60:O62" si="242">SUM(M60:N60)</x:f>
        <x:v>0</x:v>
      </x:c>
      <x:c r="P60" s="462"/>
      <x:c r="Q60" s="463">
        <x:f t="shared" ref="Q60:Q62" si="243">SUM(M60,P60)</x:f>
        <x:v>0</x:v>
      </x:c>
      <x:c r="R60" s="162" t="str">
        <x:f t="shared" ref="R60:R62" si="244">IF(AND((O60=0),(Q60&gt;0)),"O",IF(AND((N60&lt;0),(O60-Q60&lt;0)),"O","X"))</x:f>
        <x:v>X</x:v>
      </x:c>
      <x:c r="S60" s="230"/>
      <x:c r="T60" s="225"/>
      <x:c r="U60" s="217"/>
      <x:c r="V60" s="203"/>
      <x:c r="W60" s="162" t="str">
        <x:f t="shared" ref="W60:W62" si="245">IF($H60="","",IF(OR($H60="511-01",$H60="511-02",$H60="511-03",$H60="311-02",$H60="311-04",$H60="321-01"),"국도비","도비"))</x:f>
        <x:v/>
      </x:c>
      <x:c r="X60" s="217"/>
      <x:c r="Y60" s="45"/>
      <x:c r="Z60" s="508" t="str">
        <x:f t="shared" ref="Z60:Z62" si="246">IF($W60="","",IF($W60="국도비",$N60,0))</x:f>
        <x:v/>
      </x:c>
      <x:c r="AA60" s="508" t="str">
        <x:f t="shared" ref="AA60:AA62" si="247">IF($W60="","",IF($W60="도비",$N60,0))</x:f>
        <x:v/>
      </x:c>
      <x:c r="AB60" s="374" t="str">
        <x:f t="shared" ref="AB60:AB62" si="248">IF($W60="","",IF($N60=SUM($Z60:$AA60),"OK","@@"))</x:f>
        <x:v/>
      </x:c>
      <x:c r="AC60" s="46"/>
      <x:c r="AD60" s="508" t="str">
        <x:f t="shared" ref="AD60:AD62" si="249">IF($W60="","",IF($W60="국도비",$P60,0))</x:f>
        <x:v/>
      </x:c>
      <x:c r="AE60" s="508" t="str">
        <x:f t="shared" ref="AE60:AE62" si="250">IF($W60="","",IF($W60="도비",$P60,0))</x:f>
        <x:v/>
      </x:c>
      <x:c r="AF60" s="374" t="str">
        <x:f t="shared" ref="AF60:AF62" si="251">IF($W60="","",IF($P60=SUM($AD60:$AE60),"OK","@@"))</x:f>
        <x:v/>
      </x:c>
      <x:c r="AG60" s="46"/>
      <x:c r="AH60" s="374" t="str">
        <x:f>IF(AK60="","",IF($W60="도비","-",CONCATENATE(AK60,"-",COUNTIF(AK$7:$AK60,AK60))))</x:f>
        <x:v/>
      </x:c>
      <x:c r="AI60" s="374" t="str">
        <x:f t="shared" ref="AI60:AI62" si="252">IF($H60="","",IF($H60="511-01","국비",IF($H60="511-02","균특",IF($H60="511-03","기금",IF($H60="311-02","특교",IF($H60="311-04","소교",IF($H60="321-01","소멸","도비")))))))</x:f>
        <x:v/>
      </x:c>
      <x:c r="AJ60" s="46"/>
      <x:c r="AK60" s="374" t="str">
        <x:f t="array" ref="AK60:AK60">IF(OR($D60="",$C60="직접입력",$B60="직접입력"),"",INDEX(구분표!$I$2:$I$337,MATCH(1,(구분표!$G$2:$G$337='5. 기입'!$B60)*(구분표!$E$2:$E$337='5. 기입'!$C60)*(구분표!$F$2:$F$337='5. 기입'!$D60),0)))</x:f>
        <x:v/>
      </x:c>
      <x:c r="AL60" s="47"/>
      <x:c r="AM60" s="472" t="str">
        <x:f>IF($AH60="","",IF($AH60="-",0,SUMIFS('5. 기출'!$AB$7:$AB$2012,'5. 기출'!$AJ$7:$AJ$2012,$AH60)))</x:f>
        <x:v/>
      </x:c>
      <x:c r="AN60" s="377" t="str">
        <x:f>IF($AH60="","",IF($AH60="-",0,COUNTIF('5. 기출'!$AJ$7:$AJ$2012,$AH60)))</x:f>
        <x:v/>
      </x:c>
      <x:c r="AO60" s="374" t="str">
        <x:f t="shared" ref="AO60:AO62" si="253">IF($AH60="","",IF($Z60=$AM60,"OK","@@"))</x:f>
        <x:v/>
      </x:c>
      <x:c r="AP60" s="47"/>
      <x:c r="AQ60" s="472" t="str">
        <x:f>IF($AH60="","",IF($AH60="-",0,SUMIFS('5. 기출'!$AF$7:$AF$2012,'5. 기출'!$AJ$7:$AJ$2012,$AH60)))</x:f>
        <x:v/>
      </x:c>
      <x:c r="AR60" s="377" t="str">
        <x:f>IF($AH60="","",IF($AH60="-",0,COUNTIF('5. 기출'!$AJ$7:$AJ$2012,$AH60)))</x:f>
        <x:v/>
      </x:c>
      <x:c r="AS60" s="374" t="str">
        <x:f t="shared" ref="AS60:AS62" si="254">IF($AH60="","",IF($AD60=$AQ60,"OK","@@"))</x:f>
        <x:v/>
      </x:c>
    </x:row>
    <x:row r="61" spans="1:45" s="20" customFormat="1" ht="80.099999999999994" customHeight="1">
      <x:c r="A61" s="155" t="str">
        <x:f>IF(D61="","",COUNTA($C$7:C61)-COUNTBLANK($C$7:C61)+14)</x:f>
        <x:v/>
      </x:c>
      <x:c r="B61" s="156" t="str">
        <x: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x:f>
        <x:v/>
      </x:c>
      <x:c r="C61" s="156" t="str">
        <x:f>IF(D61="","",IF(OR(D61="교육지원과",D61="총무과",D61="인사과"),"직접입력",VLOOKUP(D61,구분표!$A$3:$C$258,3,)))</x:f>
        <x:v/>
      </x:c>
      <x:c r="D61" s="226"/>
      <x:c r="E61" s="213"/>
      <x:c r="F61" s="388" t="str">
        <x:f t="shared" ref="F61:G62" si="255">IF($E61="","",IF($E61="2추","직접입력","-"))</x:f>
        <x:v/>
      </x:c>
      <x:c r="G61" s="388" t="str">
        <x:f t="shared" si="255"/>
        <x:v/>
      </x:c>
      <x:c r="H61" s="214"/>
      <x:c r="I61" s="237" t="str">
        <x:f>IF(H61="","",VLOOKUP($H61,구분표!$O$3:$P$168,2,FALSE))</x:f>
        <x:v/>
      </x:c>
      <x:c r="J61" s="215"/>
      <x:c r="K61" s="459" t="str">
        <x:f t="shared" ref="K61:K62" si="256">IF($E61="","",IF(OR($E61="2추",$E61="1추",$E61="본예산"),"금액입력","-"))</x:f>
        <x:v/>
      </x:c>
      <x:c r="L61" s="459" t="str">
        <x:f t="shared" ref="L61:L62" si="257">IF($E61="","",IF($E61="2추","금액입력","-"))</x:f>
        <x:v/>
      </x:c>
      <x:c r="M61" s="461" t="str">
        <x:f t="shared" si="241"/>
        <x:v/>
      </x:c>
      <x:c r="N61" s="460"/>
      <x:c r="O61" s="461">
        <x:f t="shared" si="242"/>
        <x:v>0</x:v>
      </x:c>
      <x:c r="P61" s="462"/>
      <x:c r="Q61" s="463">
        <x:f t="shared" si="243"/>
        <x:v>0</x:v>
      </x:c>
      <x:c r="R61" s="162" t="str">
        <x:f t="shared" si="244"/>
        <x:v>X</x:v>
      </x:c>
      <x:c r="S61" s="230"/>
      <x:c r="T61" s="225"/>
      <x:c r="U61" s="217"/>
      <x:c r="V61" s="203"/>
      <x:c r="W61" s="162" t="str">
        <x:f t="shared" si="245"/>
        <x:v/>
      </x:c>
      <x:c r="X61" s="217"/>
      <x:c r="Y61" s="45"/>
      <x:c r="Z61" s="508" t="str">
        <x:f t="shared" si="246"/>
        <x:v/>
      </x:c>
      <x:c r="AA61" s="508" t="str">
        <x:f t="shared" si="247"/>
        <x:v/>
      </x:c>
      <x:c r="AB61" s="374" t="str">
        <x:f t="shared" si="248"/>
        <x:v/>
      </x:c>
      <x:c r="AC61" s="46"/>
      <x:c r="AD61" s="508" t="str">
        <x:f t="shared" si="249"/>
        <x:v/>
      </x:c>
      <x:c r="AE61" s="508" t="str">
        <x:f t="shared" si="250"/>
        <x:v/>
      </x:c>
      <x:c r="AF61" s="374" t="str">
        <x:f t="shared" si="251"/>
        <x:v/>
      </x:c>
      <x:c r="AG61" s="46"/>
      <x:c r="AH61" s="374" t="str">
        <x:f>IF(AK61="","",IF($W61="도비","-",CONCATENATE(AK61,"-",COUNTIF(AK$7:$AK61,AK61))))</x:f>
        <x:v/>
      </x:c>
      <x:c r="AI61" s="374" t="str">
        <x:f t="shared" si="252"/>
        <x:v/>
      </x:c>
      <x:c r="AJ61" s="46"/>
      <x:c r="AK61" s="374" t="str">
        <x:f t="array" ref="AK61:AK61">IF(OR($D61="",$C61="직접입력",$B61="직접입력"),"",INDEX(구분표!$I$2:$I$337,MATCH(1,(구분표!$G$2:$G$337='5. 기입'!$B61)*(구분표!$E$2:$E$337='5. 기입'!$C61)*(구분표!$F$2:$F$337='5. 기입'!$D61),0)))</x:f>
        <x:v/>
      </x:c>
      <x:c r="AL61" s="47"/>
      <x:c r="AM61" s="472" t="str">
        <x:f>IF($AH61="","",IF($AH61="-",0,SUMIFS('5. 기출'!$AB$7:$AB$2012,'5. 기출'!$AJ$7:$AJ$2012,$AH61)))</x:f>
        <x:v/>
      </x:c>
      <x:c r="AN61" s="377" t="str">
        <x:f>IF($AH61="","",IF($AH61="-",0,COUNTIF('5. 기출'!$AJ$7:$AJ$2012,$AH61)))</x:f>
        <x:v/>
      </x:c>
      <x:c r="AO61" s="374" t="str">
        <x:f t="shared" si="253"/>
        <x:v/>
      </x:c>
      <x:c r="AP61" s="47"/>
      <x:c r="AQ61" s="472" t="str">
        <x:f>IF($AH61="","",IF($AH61="-",0,SUMIFS('5. 기출'!$AF$7:$AF$2012,'5. 기출'!$AJ$7:$AJ$2012,$AH61)))</x:f>
        <x:v/>
      </x:c>
      <x:c r="AR61" s="377" t="str">
        <x:f>IF($AH61="","",IF($AH61="-",0,COUNTIF('5. 기출'!$AJ$7:$AJ$2012,$AH61)))</x:f>
        <x:v/>
      </x:c>
      <x:c r="AS61" s="374" t="str">
        <x:f t="shared" si="254"/>
        <x:v/>
      </x:c>
    </x:row>
    <x:row r="62" spans="1:45" s="20" customFormat="1" ht="80.099999999999994" customHeight="1">
      <x:c r="A62" s="155" t="str">
        <x:f>IF(D62="","",COUNTA($C$7:C62)-COUNTBLANK($C$7:C62)+14)</x:f>
        <x:v/>
      </x:c>
      <x:c r="B62" s="156" t="str">
        <x: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x:f>
        <x:v/>
      </x:c>
      <x:c r="C62" s="156" t="str">
        <x:f>IF(D62="","",IF(OR(D62="교육지원과",D62="총무과",D62="인사과"),"직접입력",VLOOKUP(D62,구분표!$A$3:$C$258,3,)))</x:f>
        <x:v/>
      </x:c>
      <x:c r="D62" s="226"/>
      <x:c r="E62" s="213"/>
      <x:c r="F62" s="388" t="str">
        <x:f t="shared" si="255"/>
        <x:v/>
      </x:c>
      <x:c r="G62" s="388" t="str">
        <x:f t="shared" si="255"/>
        <x:v/>
      </x:c>
      <x:c r="H62" s="214"/>
      <x:c r="I62" s="237" t="str">
        <x:f>IF(H62="","",VLOOKUP($H62,구분표!$O$3:$P$168,2,FALSE))</x:f>
        <x:v/>
      </x:c>
      <x:c r="J62" s="215"/>
      <x:c r="K62" s="459" t="str">
        <x:f t="shared" si="256"/>
        <x:v/>
      </x:c>
      <x:c r="L62" s="459" t="str">
        <x:f t="shared" si="257"/>
        <x:v/>
      </x:c>
      <x:c r="M62" s="461" t="str">
        <x:f t="shared" si="241"/>
        <x:v/>
      </x:c>
      <x:c r="N62" s="460"/>
      <x:c r="O62" s="461">
        <x:f t="shared" si="242"/>
        <x:v>0</x:v>
      </x:c>
      <x:c r="P62" s="462"/>
      <x:c r="Q62" s="463">
        <x:f t="shared" si="243"/>
        <x:v>0</x:v>
      </x:c>
      <x:c r="R62" s="162" t="str">
        <x:f t="shared" si="244"/>
        <x:v>X</x:v>
      </x:c>
      <x:c r="S62" s="230"/>
      <x:c r="T62" s="225"/>
      <x:c r="U62" s="217"/>
      <x:c r="V62" s="203"/>
      <x:c r="W62" s="162" t="str">
        <x:f t="shared" si="245"/>
        <x:v/>
      </x:c>
      <x:c r="X62" s="217"/>
      <x:c r="Y62" s="45"/>
      <x:c r="Z62" s="508" t="str">
        <x:f t="shared" si="246"/>
        <x:v/>
      </x:c>
      <x:c r="AA62" s="508" t="str">
        <x:f t="shared" si="247"/>
        <x:v/>
      </x:c>
      <x:c r="AB62" s="374" t="str">
        <x:f t="shared" si="248"/>
        <x:v/>
      </x:c>
      <x:c r="AC62" s="46"/>
      <x:c r="AD62" s="508" t="str">
        <x:f t="shared" si="249"/>
        <x:v/>
      </x:c>
      <x:c r="AE62" s="508" t="str">
        <x:f t="shared" si="250"/>
        <x:v/>
      </x:c>
      <x:c r="AF62" s="374" t="str">
        <x:f t="shared" si="251"/>
        <x:v/>
      </x:c>
      <x:c r="AG62" s="46"/>
      <x:c r="AH62" s="374" t="str">
        <x:f>IF(AK62="","",IF($W62="도비","-",CONCATENATE(AK62,"-",COUNTIF(AK$7:$AK62,AK62))))</x:f>
        <x:v/>
      </x:c>
      <x:c r="AI62" s="374" t="str">
        <x:f t="shared" si="252"/>
        <x:v/>
      </x:c>
      <x:c r="AJ62" s="46"/>
      <x:c r="AK62" s="374" t="str">
        <x:f t="array" ref="AK62:AK62">IF(OR($D62="",$C62="직접입력",$B62="직접입력"),"",INDEX(구분표!$I$2:$I$337,MATCH(1,(구분표!$G$2:$G$337='5. 기입'!$B62)*(구분표!$E$2:$E$337='5. 기입'!$C62)*(구분표!$F$2:$F$337='5. 기입'!$D62),0)))</x:f>
        <x:v/>
      </x:c>
      <x:c r="AL62" s="47"/>
      <x:c r="AM62" s="472" t="str">
        <x:f>IF($AH62="","",IF($AH62="-",0,SUMIFS('5. 기출'!$AB$7:$AB$2012,'5. 기출'!$AJ$7:$AJ$2012,$AH62)))</x:f>
        <x:v/>
      </x:c>
      <x:c r="AN62" s="377" t="str">
        <x:f>IF($AH62="","",IF($AH62="-",0,COUNTIF('5. 기출'!$AJ$7:$AJ$2012,$AH62)))</x:f>
        <x:v/>
      </x:c>
      <x:c r="AO62" s="374" t="str">
        <x:f t="shared" si="253"/>
        <x:v/>
      </x:c>
      <x:c r="AP62" s="47"/>
      <x:c r="AQ62" s="472" t="str">
        <x:f>IF($AH62="","",IF($AH62="-",0,SUMIFS('5. 기출'!$AF$7:$AF$2012,'5. 기출'!$AJ$7:$AJ$2012,$AH62)))</x:f>
        <x:v/>
      </x:c>
      <x:c r="AR62" s="377" t="str">
        <x:f>IF($AH62="","",IF($AH62="-",0,COUNTIF('5. 기출'!$AJ$7:$AJ$2012,$AH62)))</x:f>
        <x:v/>
      </x:c>
      <x:c r="AS62" s="374" t="str">
        <x:f t="shared" si="254"/>
        <x:v/>
      </x:c>
    </x:row>
    <x:row r="63" spans="1:45" ht="60" customHeight="1">
      <x:c r="A63" s="171"/>
      <x:c r="B63" s="888" t="s">
        <x:v>1460</x:v>
      </x:c>
      <x:c r="C63" s="888"/>
      <x:c r="D63" s="888"/>
      <x:c r="E63" s="888"/>
      <x:c r="F63" s="888"/>
      <x:c r="G63" s="888"/>
      <x:c r="H63" s="79"/>
      <x:c r="I63" s="79"/>
      <x:c r="J63" s="349" t="str">
        <x:f>SUBTOTAL(3,J64:J66)&amp;"건"</x:f>
        <x:v>0건</x:v>
      </x:c>
      <x:c r="K63" s="458">
        <x:f t="shared" ref="K63:Q63" si="258">SUBTOTAL(9,K64:K66)</x:f>
        <x:v>0</x:v>
      </x:c>
      <x:c r="L63" s="458">
        <x:f t="shared" si="258"/>
        <x:v>0</x:v>
      </x:c>
      <x:c r="M63" s="458">
        <x:f t="shared" si="258"/>
        <x:v>0</x:v>
      </x:c>
      <x:c r="N63" s="458">
        <x:f t="shared" si="258"/>
        <x:v>0</x:v>
      </x:c>
      <x:c r="O63" s="458">
        <x:f t="shared" si="258"/>
        <x:v>0</x:v>
      </x:c>
      <x:c r="P63" s="458">
        <x:f t="shared" si="258"/>
        <x:v>0</x:v>
      </x:c>
      <x:c r="Q63" s="458">
        <x:f t="shared" si="258"/>
        <x:v>0</x:v>
      </x:c>
      <x:c r="R63" s="78"/>
      <x:c r="S63" s="78"/>
      <x:c r="T63" s="78"/>
      <x:c r="U63" s="78"/>
      <x:c r="V63" s="78"/>
      <x:c r="W63" s="80"/>
      <x:c r="X63" s="80"/>
      <x:c r="Y63" s="43"/>
      <x:c r="Z63" s="458">
        <x:f>SUBTOTAL(9,Z64:Z66)</x:f>
        <x:v>0</x:v>
      </x:c>
      <x:c r="AA63" s="458">
        <x:f>SUBTOTAL(9,AA64:AA66)</x:f>
        <x:v>0</x:v>
      </x:c>
      <x:c r="AB63" s="556" t="str">
        <x:f>IF(COUNTIF(AB64:AB66,"@@")&gt;0,"@@","OK")</x:f>
        <x:v>OK</x:v>
      </x:c>
      <x:c r="AC63" s="44"/>
      <x:c r="AD63" s="458">
        <x:f>SUBTOTAL(9,AD64:AD66)</x:f>
        <x:v>0</x:v>
      </x:c>
      <x:c r="AE63" s="458">
        <x:f>SUBTOTAL(9,AE64:AE66)</x:f>
        <x:v>0</x:v>
      </x:c>
      <x:c r="AF63" s="556" t="str">
        <x:f>IF(COUNTIF(AF64:AF66,"@@")&gt;0,"@@","OK")</x:f>
        <x:v>OK</x:v>
      </x:c>
      <x:c r="AG63" s="44"/>
      <x:c r="AH63" s="171"/>
      <x:c r="AI63" s="171"/>
      <x:c r="AJ63" s="44"/>
      <x:c r="AK63" s="171"/>
      <x:c r="AL63" s="44"/>
      <x:c r="AM63" s="458">
        <x:f>SUBTOTAL(9,AM64:AM66)</x:f>
        <x:v>0</x:v>
      </x:c>
      <x:c r="AN63" s="458">
        <x:f>SUBTOTAL(9,AN64:AN66)</x:f>
        <x:v>0</x:v>
      </x:c>
      <x:c r="AO63" s="556" t="str">
        <x:f>IF(COUNTIF(AO64:AO66,"@@")&gt;0,"@@","OK")</x:f>
        <x:v>OK</x:v>
      </x:c>
      <x:c r="AP63" s="44"/>
      <x:c r="AQ63" s="458">
        <x:f>SUBTOTAL(9,AQ64:AQ66)</x:f>
        <x:v>0</x:v>
      </x:c>
      <x:c r="AR63" s="458">
        <x:f>SUBTOTAL(9,AR64:AR66)</x:f>
        <x:v>0</x:v>
      </x:c>
      <x:c r="AS63" s="556" t="str">
        <x:f>IF(COUNTIF(AS64:AS66,"@@")&gt;0,"@@","OK")</x:f>
        <x:v>OK</x:v>
      </x:c>
    </x:row>
    <x:row r="64" spans="1:45" s="20" customFormat="1" ht="80.099999999999994" customHeight="1">
      <x:c r="A64" s="155" t="str">
        <x:f>IF(D64="","",COUNTA($C$7:C64)-COUNTBLANK($C$7:C64)+15)</x:f>
        <x:v/>
      </x:c>
      <x:c r="B64" s="156" t="str">
        <x: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x:f>
        <x:v/>
      </x:c>
      <x:c r="C64" s="156" t="str">
        <x:f>IF(D64="","",IF(OR(D64="교육지원과",D64="총무과",D64="인사과"),"직접입력",VLOOKUP(D64,구분표!$A$3:$C$258,3,)))</x:f>
        <x:v/>
      </x:c>
      <x:c r="D64" s="226"/>
      <x:c r="E64" s="213"/>
      <x:c r="F64" s="388" t="str">
        <x:f>IF($E64="","",IF($E64="2추","직접입력","-"))</x:f>
        <x:v/>
      </x:c>
      <x:c r="G64" s="388" t="str">
        <x:f>IF($E64="","",IF($E64="2추","직접입력","-"))</x:f>
        <x:v/>
      </x:c>
      <x:c r="H64" s="214"/>
      <x:c r="I64" s="237" t="str">
        <x:f>IF(H64="","",VLOOKUP($H64,구분표!$O$3:$P$168,2,FALSE))</x:f>
        <x:v/>
      </x:c>
      <x:c r="J64" s="215"/>
      <x:c r="K64" s="459" t="str">
        <x:f>IF($E64="","",IF(OR($E64="2추",$E64="1추",$E64="본예산"),"금액입력","-"))</x:f>
        <x:v/>
      </x:c>
      <x:c r="L64" s="459" t="str">
        <x:f>IF($E64="","",IF($E64="2추","금액입력","-"))</x:f>
        <x:v/>
      </x:c>
      <x:c r="M64" s="461" t="str">
        <x:f t="shared" ref="M64:M66" si="259">IF($E64="","",SUM(K64:L64))</x:f>
        <x:v/>
      </x:c>
      <x:c r="N64" s="460"/>
      <x:c r="O64" s="461">
        <x:f t="shared" ref="O64:O66" si="260">SUM(M64:N64)</x:f>
        <x:v>0</x:v>
      </x:c>
      <x:c r="P64" s="462"/>
      <x:c r="Q64" s="463">
        <x:f t="shared" ref="Q64:Q66" si="261">SUM(M64,P64)</x:f>
        <x:v>0</x:v>
      </x:c>
      <x:c r="R64" s="162" t="str">
        <x:f t="shared" ref="R64:R66" si="262">IF(AND((O64=0),(Q64&gt;0)),"O",IF(AND((N64&lt;0),(O64-Q64&lt;0)),"O","X"))</x:f>
        <x:v>X</x:v>
      </x:c>
      <x:c r="S64" s="230"/>
      <x:c r="T64" s="225"/>
      <x:c r="U64" s="217"/>
      <x:c r="V64" s="203"/>
      <x:c r="W64" s="162" t="str">
        <x:f t="shared" ref="W64:W66" si="263">IF($H64="","",IF(OR($H64="511-01",$H64="511-02",$H64="511-03",$H64="311-02",$H64="311-04",$H64="321-01"),"국도비","도비"))</x:f>
        <x:v/>
      </x:c>
      <x:c r="X64" s="217"/>
      <x:c r="Y64" s="45"/>
      <x:c r="Z64" s="508" t="str">
        <x:f t="shared" ref="Z64:Z66" si="264">IF($W64="","",IF($W64="국도비",$N64,0))</x:f>
        <x:v/>
      </x:c>
      <x:c r="AA64" s="508" t="str">
        <x:f t="shared" ref="AA64:AA66" si="265">IF($W64="","",IF($W64="도비",$N64,0))</x:f>
        <x:v/>
      </x:c>
      <x:c r="AB64" s="374" t="str">
        <x:f t="shared" ref="AB64:AB66" si="266">IF($W64="","",IF($N64=SUM($Z64:$AA64),"OK","@@"))</x:f>
        <x:v/>
      </x:c>
      <x:c r="AC64" s="46"/>
      <x:c r="AD64" s="508" t="str">
        <x:f t="shared" ref="AD64:AD66" si="267">IF($W64="","",IF($W64="국도비",$P64,0))</x:f>
        <x:v/>
      </x:c>
      <x:c r="AE64" s="508" t="str">
        <x:f t="shared" ref="AE64:AE66" si="268">IF($W64="","",IF($W64="도비",$P64,0))</x:f>
        <x:v/>
      </x:c>
      <x:c r="AF64" s="374" t="str">
        <x:f t="shared" ref="AF64:AF66" si="269">IF($W64="","",IF($P64=SUM($AD64:$AE64),"OK","@@"))</x:f>
        <x:v/>
      </x:c>
      <x:c r="AG64" s="46"/>
      <x:c r="AH64" s="374" t="str">
        <x:f>IF(AK64="","",IF($W64="도비","-",CONCATENATE(AK64,"-",COUNTIF(AK$7:$AK64,AK64))))</x:f>
        <x:v/>
      </x:c>
      <x:c r="AI64" s="374" t="str">
        <x:f t="shared" ref="AI64:AI66" si="270">IF($H64="","",IF($H64="511-01","국비",IF($H64="511-02","균특",IF($H64="511-03","기금",IF($H64="311-02","특교",IF($H64="311-04","소교",IF($H64="321-01","소멸","도비")))))))</x:f>
        <x:v/>
      </x:c>
      <x:c r="AJ64" s="46"/>
      <x:c r="AK64" s="374" t="str">
        <x:f t="array" ref="AK64:AK64">IF(OR($D64="",$C64="직접입력",$B64="직접입력"),"",INDEX(구분표!$I$2:$I$337,MATCH(1,(구분표!$G$2:$G$337='5. 기입'!$B64)*(구분표!$E$2:$E$337='5. 기입'!$C64)*(구분표!$F$2:$F$337='5. 기입'!$D64),0)))</x:f>
        <x:v/>
      </x:c>
      <x:c r="AL64" s="47"/>
      <x:c r="AM64" s="472" t="str">
        <x:f>IF($AH64="","",IF($AH64="-",0,SUMIFS('5. 기출'!$AB$7:$AB$2012,'5. 기출'!$AJ$7:$AJ$2012,$AH64)))</x:f>
        <x:v/>
      </x:c>
      <x:c r="AN64" s="377" t="str">
        <x:f>IF($AH64="","",IF($AH64="-",0,COUNTIF('5. 기출'!$AJ$7:$AJ$2012,$AH64)))</x:f>
        <x:v/>
      </x:c>
      <x:c r="AO64" s="374" t="str">
        <x:f t="shared" ref="AO64:AO66" si="271">IF($AH64="","",IF($Z64=$AM64,"OK","@@"))</x:f>
        <x:v/>
      </x:c>
      <x:c r="AP64" s="47"/>
      <x:c r="AQ64" s="472" t="str">
        <x:f>IF($AH64="","",IF($AH64="-",0,SUMIFS('5. 기출'!$AF$7:$AF$2012,'5. 기출'!$AJ$7:$AJ$2012,$AH64)))</x:f>
        <x:v/>
      </x:c>
      <x:c r="AR64" s="377" t="str">
        <x:f>IF($AH64="","",IF($AH64="-",0,COUNTIF('5. 기출'!$AJ$7:$AJ$2012,$AH64)))</x:f>
        <x:v/>
      </x:c>
      <x:c r="AS64" s="374" t="str">
        <x:f t="shared" ref="AS64:AS66" si="272">IF($AH64="","",IF($AD64=$AQ64,"OK","@@"))</x:f>
        <x:v/>
      </x:c>
    </x:row>
    <x:row r="65" spans="1:45" s="20" customFormat="1" ht="80.099999999999994" customHeight="1">
      <x:c r="A65" s="155" t="str">
        <x:f>IF(D65="","",COUNTA($C$7:C65)-COUNTBLANK($C$7:C65)+15)</x:f>
        <x:v/>
      </x:c>
      <x:c r="B65" s="156" t="str">
        <x: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x:f>
        <x:v/>
      </x:c>
      <x:c r="C65" s="156" t="str">
        <x:f>IF(D65="","",IF(OR(D65="교육지원과",D65="총무과",D65="인사과"),"직접입력",VLOOKUP(D65,구분표!$A$3:$C$258,3,)))</x:f>
        <x:v/>
      </x:c>
      <x:c r="D65" s="226"/>
      <x:c r="E65" s="213"/>
      <x:c r="F65" s="388" t="str">
        <x:f t="shared" ref="F65:G66" si="273">IF($E65="","",IF($E65="2추","직접입력","-"))</x:f>
        <x:v/>
      </x:c>
      <x:c r="G65" s="388" t="str">
        <x:f t="shared" si="273"/>
        <x:v/>
      </x:c>
      <x:c r="H65" s="214"/>
      <x:c r="I65" s="237" t="str">
        <x:f>IF(H65="","",VLOOKUP($H65,구분표!$O$3:$P$168,2,FALSE))</x:f>
        <x:v/>
      </x:c>
      <x:c r="J65" s="215"/>
      <x:c r="K65" s="459" t="str">
        <x:f t="shared" ref="K65:K66" si="274">IF($E65="","",IF(OR($E65="2추",$E65="1추",$E65="본예산"),"금액입력","-"))</x:f>
        <x:v/>
      </x:c>
      <x:c r="L65" s="459" t="str">
        <x:f t="shared" ref="L65:L66" si="275">IF($E65="","",IF($E65="2추","금액입력","-"))</x:f>
        <x:v/>
      </x:c>
      <x:c r="M65" s="461" t="str">
        <x:f t="shared" si="259"/>
        <x:v/>
      </x:c>
      <x:c r="N65" s="460"/>
      <x:c r="O65" s="461">
        <x:f t="shared" si="260"/>
        <x:v>0</x:v>
      </x:c>
      <x:c r="P65" s="462"/>
      <x:c r="Q65" s="463">
        <x:f t="shared" si="261"/>
        <x:v>0</x:v>
      </x:c>
      <x:c r="R65" s="162" t="str">
        <x:f t="shared" si="262"/>
        <x:v>X</x:v>
      </x:c>
      <x:c r="S65" s="230"/>
      <x:c r="T65" s="225"/>
      <x:c r="U65" s="217"/>
      <x:c r="V65" s="203"/>
      <x:c r="W65" s="162" t="str">
        <x:f t="shared" si="263"/>
        <x:v/>
      </x:c>
      <x:c r="X65" s="217"/>
      <x:c r="Y65" s="45"/>
      <x:c r="Z65" s="508" t="str">
        <x:f t="shared" si="264"/>
        <x:v/>
      </x:c>
      <x:c r="AA65" s="508" t="str">
        <x:f t="shared" si="265"/>
        <x:v/>
      </x:c>
      <x:c r="AB65" s="374" t="str">
        <x:f t="shared" si="266"/>
        <x:v/>
      </x:c>
      <x:c r="AC65" s="46"/>
      <x:c r="AD65" s="508" t="str">
        <x:f t="shared" si="267"/>
        <x:v/>
      </x:c>
      <x:c r="AE65" s="508" t="str">
        <x:f t="shared" si="268"/>
        <x:v/>
      </x:c>
      <x:c r="AF65" s="374" t="str">
        <x:f t="shared" si="269"/>
        <x:v/>
      </x:c>
      <x:c r="AG65" s="46"/>
      <x:c r="AH65" s="374" t="str">
        <x:f>IF(AK65="","",IF($W65="도비","-",CONCATENATE(AK65,"-",COUNTIF(AK$7:$AK65,AK65))))</x:f>
        <x:v/>
      </x:c>
      <x:c r="AI65" s="374" t="str">
        <x:f t="shared" si="270"/>
        <x:v/>
      </x:c>
      <x:c r="AJ65" s="46"/>
      <x:c r="AK65" s="374" t="str">
        <x:f t="array" ref="AK65:AK65">IF(OR($D65="",$C65="직접입력",$B65="직접입력"),"",INDEX(구분표!$I$2:$I$337,MATCH(1,(구분표!$G$2:$G$337='5. 기입'!$B65)*(구분표!$E$2:$E$337='5. 기입'!$C65)*(구분표!$F$2:$F$337='5. 기입'!$D65),0)))</x:f>
        <x:v/>
      </x:c>
      <x:c r="AL65" s="47"/>
      <x:c r="AM65" s="472" t="str">
        <x:f>IF($AH65="","",IF($AH65="-",0,SUMIFS('5. 기출'!$AB$7:$AB$2012,'5. 기출'!$AJ$7:$AJ$2012,$AH65)))</x:f>
        <x:v/>
      </x:c>
      <x:c r="AN65" s="377" t="str">
        <x:f>IF($AH65="","",IF($AH65="-",0,COUNTIF('5. 기출'!$AJ$7:$AJ$2012,$AH65)))</x:f>
        <x:v/>
      </x:c>
      <x:c r="AO65" s="374" t="str">
        <x:f t="shared" si="271"/>
        <x:v/>
      </x:c>
      <x:c r="AP65" s="47"/>
      <x:c r="AQ65" s="472" t="str">
        <x:f>IF($AH65="","",IF($AH65="-",0,SUMIFS('5. 기출'!$AF$7:$AF$2012,'5. 기출'!$AJ$7:$AJ$2012,$AH65)))</x:f>
        <x:v/>
      </x:c>
      <x:c r="AR65" s="377" t="str">
        <x:f>IF($AH65="","",IF($AH65="-",0,COUNTIF('5. 기출'!$AJ$7:$AJ$2012,$AH65)))</x:f>
        <x:v/>
      </x:c>
      <x:c r="AS65" s="374" t="str">
        <x:f t="shared" si="272"/>
        <x:v/>
      </x:c>
    </x:row>
    <x:row r="66" spans="1:45" s="20" customFormat="1" ht="80.099999999999994" customHeight="1">
      <x:c r="A66" s="155" t="str">
        <x:f>IF(D66="","",COUNTA($C$7:C66)-COUNTBLANK($C$7:C66)+15)</x:f>
        <x:v/>
      </x:c>
      <x:c r="B66" s="156" t="str">
        <x: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x:f>
        <x:v/>
      </x:c>
      <x:c r="C66" s="156" t="str">
        <x:f>IF(D66="","",IF(OR(D66="교육지원과",D66="총무과",D66="인사과"),"직접입력",VLOOKUP(D66,구분표!$A$3:$C$258,3,)))</x:f>
        <x:v/>
      </x:c>
      <x:c r="D66" s="226"/>
      <x:c r="E66" s="213"/>
      <x:c r="F66" s="388" t="str">
        <x:f t="shared" si="273"/>
        <x:v/>
      </x:c>
      <x:c r="G66" s="388" t="str">
        <x:f t="shared" si="273"/>
        <x:v/>
      </x:c>
      <x:c r="H66" s="214"/>
      <x:c r="I66" s="237" t="str">
        <x:f>IF(H66="","",VLOOKUP($H66,구분표!$O$3:$P$168,2,FALSE))</x:f>
        <x:v/>
      </x:c>
      <x:c r="J66" s="215"/>
      <x:c r="K66" s="459" t="str">
        <x:f t="shared" si="274"/>
        <x:v/>
      </x:c>
      <x:c r="L66" s="459" t="str">
        <x:f t="shared" si="275"/>
        <x:v/>
      </x:c>
      <x:c r="M66" s="461" t="str">
        <x:f t="shared" si="259"/>
        <x:v/>
      </x:c>
      <x:c r="N66" s="460"/>
      <x:c r="O66" s="461">
        <x:f t="shared" si="260"/>
        <x:v>0</x:v>
      </x:c>
      <x:c r="P66" s="462"/>
      <x:c r="Q66" s="463">
        <x:f t="shared" si="261"/>
        <x:v>0</x:v>
      </x:c>
      <x:c r="R66" s="162" t="str">
        <x:f t="shared" si="262"/>
        <x:v>X</x:v>
      </x:c>
      <x:c r="S66" s="230"/>
      <x:c r="T66" s="225"/>
      <x:c r="U66" s="217"/>
      <x:c r="V66" s="203"/>
      <x:c r="W66" s="162" t="str">
        <x:f t="shared" si="263"/>
        <x:v/>
      </x:c>
      <x:c r="X66" s="217"/>
      <x:c r="Y66" s="45"/>
      <x:c r="Z66" s="508" t="str">
        <x:f t="shared" si="264"/>
        <x:v/>
      </x:c>
      <x:c r="AA66" s="508" t="str">
        <x:f t="shared" si="265"/>
        <x:v/>
      </x:c>
      <x:c r="AB66" s="374" t="str">
        <x:f t="shared" si="266"/>
        <x:v/>
      </x:c>
      <x:c r="AC66" s="46"/>
      <x:c r="AD66" s="508" t="str">
        <x:f t="shared" si="267"/>
        <x:v/>
      </x:c>
      <x:c r="AE66" s="508" t="str">
        <x:f t="shared" si="268"/>
        <x:v/>
      </x:c>
      <x:c r="AF66" s="374" t="str">
        <x:f t="shared" si="269"/>
        <x:v/>
      </x:c>
      <x:c r="AG66" s="46"/>
      <x:c r="AH66" s="374" t="str">
        <x:f>IF(AK66="","",IF($W66="도비","-",CONCATENATE(AK66,"-",COUNTIF(AK$7:$AK66,AK66))))</x:f>
        <x:v/>
      </x:c>
      <x:c r="AI66" s="374" t="str">
        <x:f t="shared" si="270"/>
        <x:v/>
      </x:c>
      <x:c r="AJ66" s="46"/>
      <x:c r="AK66" s="374" t="str">
        <x:f t="array" ref="AK66:AK66">IF(OR($D66="",$C66="직접입력",$B66="직접입력"),"",INDEX(구분표!$I$2:$I$337,MATCH(1,(구분표!$G$2:$G$337='5. 기입'!$B66)*(구분표!$E$2:$E$337='5. 기입'!$C66)*(구분표!$F$2:$F$337='5. 기입'!$D66),0)))</x:f>
        <x:v/>
      </x:c>
      <x:c r="AL66" s="47"/>
      <x:c r="AM66" s="472" t="str">
        <x:f>IF($AH66="","",IF($AH66="-",0,SUMIFS('5. 기출'!$AB$7:$AB$2012,'5. 기출'!$AJ$7:$AJ$2012,$AH66)))</x:f>
        <x:v/>
      </x:c>
      <x:c r="AN66" s="377" t="str">
        <x:f>IF($AH66="","",IF($AH66="-",0,COUNTIF('5. 기출'!$AJ$7:$AJ$2012,$AH66)))</x:f>
        <x:v/>
      </x:c>
      <x:c r="AO66" s="374" t="str">
        <x:f t="shared" si="271"/>
        <x:v/>
      </x:c>
      <x:c r="AP66" s="47"/>
      <x:c r="AQ66" s="472" t="str">
        <x:f>IF($AH66="","",IF($AH66="-",0,SUMIFS('5. 기출'!$AF$7:$AF$2012,'5. 기출'!$AJ$7:$AJ$2012,$AH66)))</x:f>
        <x:v/>
      </x:c>
      <x:c r="AR66" s="377" t="str">
        <x:f>IF($AH66="","",IF($AH66="-",0,COUNTIF('5. 기출'!$AJ$7:$AJ$2012,$AH66)))</x:f>
        <x:v/>
      </x:c>
      <x:c r="AS66" s="374" t="str">
        <x:f t="shared" si="272"/>
        <x:v/>
      </x:c>
    </x:row>
    <x:row r="67" spans="1:45" ht="60" customHeight="1">
      <x:c r="A67" s="171"/>
      <x:c r="B67" s="888" t="s">
        <x:v>878</x:v>
      </x:c>
      <x:c r="C67" s="888"/>
      <x:c r="D67" s="888"/>
      <x:c r="E67" s="888"/>
      <x:c r="F67" s="888"/>
      <x:c r="G67" s="888"/>
      <x:c r="H67" s="79"/>
      <x:c r="I67" s="79"/>
      <x:c r="J67" s="349" t="str">
        <x:f>SUBTOTAL(3,J68:J70)&amp;"건"</x:f>
        <x:v>0건</x:v>
      </x:c>
      <x:c r="K67" s="458">
        <x:f t="shared" ref="K67:Q67" si="276">SUBTOTAL(9,K68:K70)</x:f>
        <x:v>0</x:v>
      </x:c>
      <x:c r="L67" s="458">
        <x:f t="shared" si="276"/>
        <x:v>0</x:v>
      </x:c>
      <x:c r="M67" s="458">
        <x:f t="shared" si="276"/>
        <x:v>0</x:v>
      </x:c>
      <x:c r="N67" s="458">
        <x:f t="shared" si="276"/>
        <x:v>0</x:v>
      </x:c>
      <x:c r="O67" s="458">
        <x:f t="shared" si="276"/>
        <x:v>0</x:v>
      </x:c>
      <x:c r="P67" s="458">
        <x:f t="shared" si="276"/>
        <x:v>0</x:v>
      </x:c>
      <x:c r="Q67" s="458">
        <x:f t="shared" si="276"/>
        <x:v>0</x:v>
      </x:c>
      <x:c r="R67" s="78"/>
      <x:c r="S67" s="78"/>
      <x:c r="T67" s="78"/>
      <x:c r="U67" s="78"/>
      <x:c r="V67" s="78"/>
      <x:c r="W67" s="80"/>
      <x:c r="X67" s="80"/>
      <x:c r="Y67" s="43"/>
      <x:c r="Z67" s="458">
        <x:f>SUBTOTAL(9,Z68:Z70)</x:f>
        <x:v>0</x:v>
      </x:c>
      <x:c r="AA67" s="458">
        <x:f>SUBTOTAL(9,AA68:AA70)</x:f>
        <x:v>0</x:v>
      </x:c>
      <x:c r="AB67" s="556" t="str">
        <x:f>IF(COUNTIF(AB68:AB70,"@@")&gt;0,"@@","OK")</x:f>
        <x:v>OK</x:v>
      </x:c>
      <x:c r="AC67" s="44"/>
      <x:c r="AD67" s="458">
        <x:f>SUBTOTAL(9,AD68:AD70)</x:f>
        <x:v>0</x:v>
      </x:c>
      <x:c r="AE67" s="458">
        <x:f>SUBTOTAL(9,AE68:AE70)</x:f>
        <x:v>0</x:v>
      </x:c>
      <x:c r="AF67" s="556" t="str">
        <x:f>IF(COUNTIF(AF68:AF70,"@@")&gt;0,"@@","OK")</x:f>
        <x:v>OK</x:v>
      </x:c>
      <x:c r="AG67" s="44"/>
      <x:c r="AH67" s="171"/>
      <x:c r="AI67" s="171"/>
      <x:c r="AJ67" s="44"/>
      <x:c r="AK67" s="171"/>
      <x:c r="AL67" s="44"/>
      <x:c r="AM67" s="458">
        <x:f>SUBTOTAL(9,AM68:AM70)</x:f>
        <x:v>0</x:v>
      </x:c>
      <x:c r="AN67" s="458">
        <x:f>SUBTOTAL(9,AN68:AN70)</x:f>
        <x:v>0</x:v>
      </x:c>
      <x:c r="AO67" s="556" t="str">
        <x:f>IF(COUNTIF(AO68:AO70,"@@")&gt;0,"@@","OK")</x:f>
        <x:v>OK</x:v>
      </x:c>
      <x:c r="AP67" s="44"/>
      <x:c r="AQ67" s="458">
        <x:f>SUBTOTAL(9,AQ68:AQ70)</x:f>
        <x:v>0</x:v>
      </x:c>
      <x:c r="AR67" s="458">
        <x:f>SUBTOTAL(9,AR68:AR70)</x:f>
        <x:v>0</x:v>
      </x:c>
      <x:c r="AS67" s="556" t="str">
        <x:f>IF(COUNTIF(AS68:AS70,"@@")&gt;0,"@@","OK")</x:f>
        <x:v>OK</x:v>
      </x:c>
    </x:row>
    <x:row r="68" spans="1:45" s="20" customFormat="1" ht="80.099999999999994" customHeight="1">
      <x:c r="A68" s="155" t="str">
        <x:f>IF(D68="","",COUNTA($C$7:C68)-COUNTBLANK($C$7:C68)+16)</x:f>
        <x:v/>
      </x:c>
      <x:c r="B68" s="156" t="str">
        <x: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x:f>
        <x:v/>
      </x:c>
      <x:c r="C68" s="156" t="str">
        <x:f>IF(D68="","",IF(OR(D68="교육지원과",D68="총무과",D68="인사과"),"직접입력",VLOOKUP(D68,구분표!$A$3:$C$258,3,)))</x:f>
        <x:v/>
      </x:c>
      <x:c r="D68" s="226"/>
      <x:c r="E68" s="213"/>
      <x:c r="F68" s="388" t="str">
        <x:f>IF($E68="","",IF($E68="2추","직접입력","-"))</x:f>
        <x:v/>
      </x:c>
      <x:c r="G68" s="388" t="str">
        <x:f>IF($E68="","",IF($E68="2추","직접입력","-"))</x:f>
        <x:v/>
      </x:c>
      <x:c r="H68" s="214"/>
      <x:c r="I68" s="237" t="str">
        <x:f>IF(H68="","",VLOOKUP($H68,구분표!$O$3:$P$168,2,FALSE))</x:f>
        <x:v/>
      </x:c>
      <x:c r="J68" s="215"/>
      <x:c r="K68" s="459" t="str">
        <x:f>IF($E68="","",IF(OR($E68="2추",$E68="1추",$E68="본예산"),"금액입력","-"))</x:f>
        <x:v/>
      </x:c>
      <x:c r="L68" s="459" t="str">
        <x:f>IF($E68="","",IF($E68="2추","금액입력","-"))</x:f>
        <x:v/>
      </x:c>
      <x:c r="M68" s="461" t="str">
        <x:f t="shared" ref="M68:M70" si="277">IF($E68="","",SUM(K68:L68))</x:f>
        <x:v/>
      </x:c>
      <x:c r="N68" s="460"/>
      <x:c r="O68" s="461">
        <x:f t="shared" ref="O68:O70" si="278">SUM(M68:N68)</x:f>
        <x:v>0</x:v>
      </x:c>
      <x:c r="P68" s="462"/>
      <x:c r="Q68" s="463">
        <x:f t="shared" ref="Q68:Q70" si="279">SUM(M68,P68)</x:f>
        <x:v>0</x:v>
      </x:c>
      <x:c r="R68" s="162" t="str">
        <x:f t="shared" ref="R68:R70" si="280">IF(AND((O68=0),(Q68&gt;0)),"O",IF(AND((N68&lt;0),(O68-Q68&lt;0)),"O","X"))</x:f>
        <x:v>X</x:v>
      </x:c>
      <x:c r="S68" s="230"/>
      <x:c r="T68" s="225"/>
      <x:c r="U68" s="217"/>
      <x:c r="V68" s="203"/>
      <x:c r="W68" s="162" t="str">
        <x:f t="shared" ref="W68:W70" si="281">IF($H68="","",IF(OR($H68="511-01",$H68="511-02",$H68="511-03",$H68="311-02",$H68="311-04",$H68="321-01"),"국도비","도비"))</x:f>
        <x:v/>
      </x:c>
      <x:c r="X68" s="217"/>
      <x:c r="Y68" s="45"/>
      <x:c r="Z68" s="508" t="str">
        <x:f t="shared" ref="Z68:Z70" si="282">IF($W68="","",IF($W68="국도비",$N68,0))</x:f>
        <x:v/>
      </x:c>
      <x:c r="AA68" s="508" t="str">
        <x:f t="shared" ref="AA68:AA70" si="283">IF($W68="","",IF($W68="도비",$N68,0))</x:f>
        <x:v/>
      </x:c>
      <x:c r="AB68" s="374" t="str">
        <x:f t="shared" ref="AB68:AB70" si="284">IF($W68="","",IF($N68=SUM($Z68:$AA68),"OK","@@"))</x:f>
        <x:v/>
      </x:c>
      <x:c r="AC68" s="46"/>
      <x:c r="AD68" s="508" t="str">
        <x:f t="shared" ref="AD68:AD70" si="285">IF($W68="","",IF($W68="국도비",$P68,0))</x:f>
        <x:v/>
      </x:c>
      <x:c r="AE68" s="508" t="str">
        <x:f t="shared" ref="AE68:AE70" si="286">IF($W68="","",IF($W68="도비",$P68,0))</x:f>
        <x:v/>
      </x:c>
      <x:c r="AF68" s="374" t="str">
        <x:f t="shared" ref="AF68:AF70" si="287">IF($W68="","",IF($P68=SUM($AD68:$AE68),"OK","@@"))</x:f>
        <x:v/>
      </x:c>
      <x:c r="AG68" s="46"/>
      <x:c r="AH68" s="374" t="str">
        <x:f>IF(AK68="","",IF($W68="도비","-",CONCATENATE(AK68,"-",COUNTIF(AK$7:$AK68,AK68))))</x:f>
        <x:v/>
      </x:c>
      <x:c r="AI68" s="374" t="str">
        <x:f t="shared" ref="AI68:AI70" si="288">IF($H68="","",IF($H68="511-01","국비",IF($H68="511-02","균특",IF($H68="511-03","기금",IF($H68="311-02","특교",IF($H68="311-04","소교",IF($H68="321-01","소멸","도비")))))))</x:f>
        <x:v/>
      </x:c>
      <x:c r="AJ68" s="46"/>
      <x:c r="AK68" s="374" t="str">
        <x:f t="array" ref="AK68:AK68">IF(OR($D68="",$C68="직접입력",$B68="직접입력"),"",INDEX(구분표!$I$2:$I$337,MATCH(1,(구분표!$G$2:$G$337='5. 기입'!$B68)*(구분표!$E$2:$E$337='5. 기입'!$C68)*(구분표!$F$2:$F$337='5. 기입'!$D68),0)))</x:f>
        <x:v/>
      </x:c>
      <x:c r="AL68" s="47"/>
      <x:c r="AM68" s="472" t="str">
        <x:f>IF($AH68="","",IF($AH68="-",0,SUMIFS('5. 기출'!$AB$7:$AB$2012,'5. 기출'!$AJ$7:$AJ$2012,$AH68)))</x:f>
        <x:v/>
      </x:c>
      <x:c r="AN68" s="377" t="str">
        <x:f>IF($AH68="","",IF($AH68="-",0,COUNTIF('5. 기출'!$AJ$7:$AJ$2012,$AH68)))</x:f>
        <x:v/>
      </x:c>
      <x:c r="AO68" s="374" t="str">
        <x:f t="shared" ref="AO68:AO70" si="289">IF($AH68="","",IF($Z68=$AM68,"OK","@@"))</x:f>
        <x:v/>
      </x:c>
      <x:c r="AP68" s="47"/>
      <x:c r="AQ68" s="472" t="str">
        <x:f>IF($AH68="","",IF($AH68="-",0,SUMIFS('5. 기출'!$AF$7:$AF$2012,'5. 기출'!$AJ$7:$AJ$2012,$AH68)))</x:f>
        <x:v/>
      </x:c>
      <x:c r="AR68" s="377" t="str">
        <x:f>IF($AH68="","",IF($AH68="-",0,COUNTIF('5. 기출'!$AJ$7:$AJ$2012,$AH68)))</x:f>
        <x:v/>
      </x:c>
      <x:c r="AS68" s="374" t="str">
        <x:f t="shared" ref="AS68:AS70" si="290">IF($AH68="","",IF($AD68=$AQ68,"OK","@@"))</x:f>
        <x:v/>
      </x:c>
    </x:row>
    <x:row r="69" spans="1:45" s="20" customFormat="1" ht="80.099999999999994" customHeight="1">
      <x:c r="A69" s="155" t="str">
        <x:f>IF(D69="","",COUNTA($C$7:C69)-COUNTBLANK($C$7:C69)+16)</x:f>
        <x:v/>
      </x:c>
      <x:c r="B69" s="156" t="str">
        <x: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x:f>
        <x:v/>
      </x:c>
      <x:c r="C69" s="156" t="str">
        <x:f>IF(D69="","",IF(OR(D69="교육지원과",D69="총무과",D69="인사과"),"직접입력",VLOOKUP(D69,구분표!$A$3:$C$258,3,)))</x:f>
        <x:v/>
      </x:c>
      <x:c r="D69" s="226"/>
      <x:c r="E69" s="213"/>
      <x:c r="F69" s="388" t="str">
        <x:f t="shared" ref="F69:G70" si="291">IF($E69="","",IF($E69="2추","직접입력","-"))</x:f>
        <x:v/>
      </x:c>
      <x:c r="G69" s="388" t="str">
        <x:f t="shared" si="291"/>
        <x:v/>
      </x:c>
      <x:c r="H69" s="214"/>
      <x:c r="I69" s="237" t="str">
        <x:f>IF(H69="","",VLOOKUP($H69,구분표!$O$3:$P$168,2,FALSE))</x:f>
        <x:v/>
      </x:c>
      <x:c r="J69" s="215"/>
      <x:c r="K69" s="459" t="str">
        <x:f t="shared" ref="K69:K70" si="292">IF($E69="","",IF(OR($E69="2추",$E69="1추",$E69="본예산"),"금액입력","-"))</x:f>
        <x:v/>
      </x:c>
      <x:c r="L69" s="459" t="str">
        <x:f t="shared" ref="L69:L70" si="293">IF($E69="","",IF($E69="2추","금액입력","-"))</x:f>
        <x:v/>
      </x:c>
      <x:c r="M69" s="461" t="str">
        <x:f t="shared" si="277"/>
        <x:v/>
      </x:c>
      <x:c r="N69" s="460"/>
      <x:c r="O69" s="461">
        <x:f t="shared" si="278"/>
        <x:v>0</x:v>
      </x:c>
      <x:c r="P69" s="462"/>
      <x:c r="Q69" s="463">
        <x:f t="shared" si="279"/>
        <x:v>0</x:v>
      </x:c>
      <x:c r="R69" s="162" t="str">
        <x:f t="shared" si="280"/>
        <x:v>X</x:v>
      </x:c>
      <x:c r="S69" s="230"/>
      <x:c r="T69" s="225"/>
      <x:c r="U69" s="217"/>
      <x:c r="V69" s="203"/>
      <x:c r="W69" s="162" t="str">
        <x:f t="shared" si="281"/>
        <x:v/>
      </x:c>
      <x:c r="X69" s="217"/>
      <x:c r="Y69" s="45"/>
      <x:c r="Z69" s="508" t="str">
        <x:f t="shared" si="282"/>
        <x:v/>
      </x:c>
      <x:c r="AA69" s="508" t="str">
        <x:f t="shared" si="283"/>
        <x:v/>
      </x:c>
      <x:c r="AB69" s="374" t="str">
        <x:f t="shared" si="284"/>
        <x:v/>
      </x:c>
      <x:c r="AC69" s="46"/>
      <x:c r="AD69" s="508" t="str">
        <x:f t="shared" si="285"/>
        <x:v/>
      </x:c>
      <x:c r="AE69" s="508" t="str">
        <x:f t="shared" si="286"/>
        <x:v/>
      </x:c>
      <x:c r="AF69" s="374" t="str">
        <x:f t="shared" si="287"/>
        <x:v/>
      </x:c>
      <x:c r="AG69" s="46"/>
      <x:c r="AH69" s="374" t="str">
        <x:f>IF(AK69="","",IF($W69="도비","-",CONCATENATE(AK69,"-",COUNTIF(AK$7:$AK69,AK69))))</x:f>
        <x:v/>
      </x:c>
      <x:c r="AI69" s="374" t="str">
        <x:f t="shared" si="288"/>
        <x:v/>
      </x:c>
      <x:c r="AJ69" s="46"/>
      <x:c r="AK69" s="374" t="str">
        <x:f t="array" ref="AK69:AK69">IF(OR($D69="",$C69="직접입력",$B69="직접입력"),"",INDEX(구분표!$I$2:$I$337,MATCH(1,(구분표!$G$2:$G$337='5. 기입'!$B69)*(구분표!$E$2:$E$337='5. 기입'!$C69)*(구분표!$F$2:$F$337='5. 기입'!$D69),0)))</x:f>
        <x:v/>
      </x:c>
      <x:c r="AL69" s="47"/>
      <x:c r="AM69" s="472" t="str">
        <x:f>IF($AH69="","",IF($AH69="-",0,SUMIFS('5. 기출'!$AB$7:$AB$2012,'5. 기출'!$AJ$7:$AJ$2012,$AH69)))</x:f>
        <x:v/>
      </x:c>
      <x:c r="AN69" s="377" t="str">
        <x:f>IF($AH69="","",IF($AH69="-",0,COUNTIF('5. 기출'!$AJ$7:$AJ$2012,$AH69)))</x:f>
        <x:v/>
      </x:c>
      <x:c r="AO69" s="374" t="str">
        <x:f t="shared" si="289"/>
        <x:v/>
      </x:c>
      <x:c r="AP69" s="47"/>
      <x:c r="AQ69" s="472" t="str">
        <x:f>IF($AH69="","",IF($AH69="-",0,SUMIFS('5. 기출'!$AF$7:$AF$2012,'5. 기출'!$AJ$7:$AJ$2012,$AH69)))</x:f>
        <x:v/>
      </x:c>
      <x:c r="AR69" s="377" t="str">
        <x:f>IF($AH69="","",IF($AH69="-",0,COUNTIF('5. 기출'!$AJ$7:$AJ$2012,$AH69)))</x:f>
        <x:v/>
      </x:c>
      <x:c r="AS69" s="374" t="str">
        <x:f t="shared" si="290"/>
        <x:v/>
      </x:c>
    </x:row>
    <x:row r="70" spans="1:45" s="20" customFormat="1" ht="80.099999999999994" customHeight="1">
      <x:c r="A70" s="155" t="str">
        <x:f>IF(D70="","",COUNTA($C$7:C70)-COUNTBLANK($C$7:C70)+16)</x:f>
        <x:v/>
      </x:c>
      <x:c r="B70" s="156" t="str">
        <x: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x:f>
        <x:v/>
      </x:c>
      <x:c r="C70" s="156" t="str">
        <x:f>IF(D70="","",IF(OR(D70="교육지원과",D70="총무과",D70="인사과"),"직접입력",VLOOKUP(D70,구분표!$A$3:$C$258,3,)))</x:f>
        <x:v/>
      </x:c>
      <x:c r="D70" s="226"/>
      <x:c r="E70" s="213"/>
      <x:c r="F70" s="388" t="str">
        <x:f t="shared" si="291"/>
        <x:v/>
      </x:c>
      <x:c r="G70" s="388" t="str">
        <x:f t="shared" si="291"/>
        <x:v/>
      </x:c>
      <x:c r="H70" s="214"/>
      <x:c r="I70" s="237" t="str">
        <x:f>IF(H70="","",VLOOKUP($H70,구분표!$O$3:$P$168,2,FALSE))</x:f>
        <x:v/>
      </x:c>
      <x:c r="J70" s="215"/>
      <x:c r="K70" s="459" t="str">
        <x:f t="shared" si="292"/>
        <x:v/>
      </x:c>
      <x:c r="L70" s="459" t="str">
        <x:f t="shared" si="293"/>
        <x:v/>
      </x:c>
      <x:c r="M70" s="461" t="str">
        <x:f t="shared" si="277"/>
        <x:v/>
      </x:c>
      <x:c r="N70" s="460"/>
      <x:c r="O70" s="461">
        <x:f t="shared" si="278"/>
        <x:v>0</x:v>
      </x:c>
      <x:c r="P70" s="462"/>
      <x:c r="Q70" s="463">
        <x:f t="shared" si="279"/>
        <x:v>0</x:v>
      </x:c>
      <x:c r="R70" s="162" t="str">
        <x:f t="shared" si="280"/>
        <x:v>X</x:v>
      </x:c>
      <x:c r="S70" s="230"/>
      <x:c r="T70" s="225"/>
      <x:c r="U70" s="217"/>
      <x:c r="V70" s="203"/>
      <x:c r="W70" s="162" t="str">
        <x:f t="shared" si="281"/>
        <x:v/>
      </x:c>
      <x:c r="X70" s="217"/>
      <x:c r="Y70" s="45"/>
      <x:c r="Z70" s="508" t="str">
        <x:f t="shared" si="282"/>
        <x:v/>
      </x:c>
      <x:c r="AA70" s="508" t="str">
        <x:f t="shared" si="283"/>
        <x:v/>
      </x:c>
      <x:c r="AB70" s="374" t="str">
        <x:f t="shared" si="284"/>
        <x:v/>
      </x:c>
      <x:c r="AC70" s="46"/>
      <x:c r="AD70" s="508" t="str">
        <x:f t="shared" si="285"/>
        <x:v/>
      </x:c>
      <x:c r="AE70" s="508" t="str">
        <x:f t="shared" si="286"/>
        <x:v/>
      </x:c>
      <x:c r="AF70" s="374" t="str">
        <x:f t="shared" si="287"/>
        <x:v/>
      </x:c>
      <x:c r="AG70" s="46"/>
      <x:c r="AH70" s="374" t="str">
        <x:f>IF(AK70="","",IF($W70="도비","-",CONCATENATE(AK70,"-",COUNTIF(AK$7:$AK70,AK70))))</x:f>
        <x:v/>
      </x:c>
      <x:c r="AI70" s="374" t="str">
        <x:f t="shared" si="288"/>
        <x:v/>
      </x:c>
      <x:c r="AJ70" s="46"/>
      <x:c r="AK70" s="374" t="str">
        <x:f t="array" ref="AK70:AK70">IF(OR($D70="",$C70="직접입력",$B70="직접입력"),"",INDEX(구분표!$I$2:$I$337,MATCH(1,(구분표!$G$2:$G$337='5. 기입'!$B70)*(구분표!$E$2:$E$337='5. 기입'!$C70)*(구분표!$F$2:$F$337='5. 기입'!$D70),0)))</x:f>
        <x:v/>
      </x:c>
      <x:c r="AL70" s="47"/>
      <x:c r="AM70" s="472" t="str">
        <x:f>IF($AH70="","",IF($AH70="-",0,SUMIFS('5. 기출'!$AB$7:$AB$2012,'5. 기출'!$AJ$7:$AJ$2012,$AH70)))</x:f>
        <x:v/>
      </x:c>
      <x:c r="AN70" s="377" t="str">
        <x:f>IF($AH70="","",IF($AH70="-",0,COUNTIF('5. 기출'!$AJ$7:$AJ$2012,$AH70)))</x:f>
        <x:v/>
      </x:c>
      <x:c r="AO70" s="374" t="str">
        <x:f t="shared" si="289"/>
        <x:v/>
      </x:c>
      <x:c r="AP70" s="47"/>
      <x:c r="AQ70" s="472" t="str">
        <x:f>IF($AH70="","",IF($AH70="-",0,SUMIFS('5. 기출'!$AF$7:$AF$2012,'5. 기출'!$AJ$7:$AJ$2012,$AH70)))</x:f>
        <x:v/>
      </x:c>
      <x:c r="AR70" s="377" t="str">
        <x:f>IF($AH70="","",IF($AH70="-",0,COUNTIF('5. 기출'!$AJ$7:$AJ$2012,$AH70)))</x:f>
        <x:v/>
      </x:c>
      <x:c r="AS70" s="374" t="str">
        <x:f t="shared" si="290"/>
        <x:v/>
      </x:c>
    </x:row>
    <x:row r="71" spans="1:45" ht="60" customHeight="1">
      <x:c r="A71" s="171"/>
      <x:c r="B71" s="888" t="s">
        <x:v>1643</x:v>
      </x:c>
      <x:c r="C71" s="888"/>
      <x:c r="D71" s="888"/>
      <x:c r="E71" s="888"/>
      <x:c r="F71" s="888"/>
      <x:c r="G71" s="888"/>
      <x:c r="H71" s="79"/>
      <x:c r="I71" s="79"/>
      <x:c r="J71" s="349" t="str">
        <x:f>SUBTOTAL(3,J72:J74)&amp;"건"</x:f>
        <x:v>0건</x:v>
      </x:c>
      <x:c r="K71" s="458">
        <x:f t="shared" ref="K71:Q71" si="294">SUBTOTAL(9,K72:K74)</x:f>
        <x:v>0</x:v>
      </x:c>
      <x:c r="L71" s="458">
        <x:f t="shared" si="294"/>
        <x:v>0</x:v>
      </x:c>
      <x:c r="M71" s="458">
        <x:f t="shared" si="294"/>
        <x:v>0</x:v>
      </x:c>
      <x:c r="N71" s="458">
        <x:f t="shared" si="294"/>
        <x:v>0</x:v>
      </x:c>
      <x:c r="O71" s="458">
        <x:f t="shared" si="294"/>
        <x:v>0</x:v>
      </x:c>
      <x:c r="P71" s="458">
        <x:f t="shared" si="294"/>
        <x:v>0</x:v>
      </x:c>
      <x:c r="Q71" s="458">
        <x:f t="shared" si="294"/>
        <x:v>0</x:v>
      </x:c>
      <x:c r="R71" s="78"/>
      <x:c r="S71" s="78"/>
      <x:c r="T71" s="78"/>
      <x:c r="U71" s="78"/>
      <x:c r="V71" s="78"/>
      <x:c r="W71" s="80"/>
      <x:c r="X71" s="80"/>
      <x:c r="Y71" s="43"/>
      <x:c r="Z71" s="458">
        <x:f>SUBTOTAL(9,Z72:Z74)</x:f>
        <x:v>0</x:v>
      </x:c>
      <x:c r="AA71" s="458">
        <x:f>SUBTOTAL(9,AA72:AA74)</x:f>
        <x:v>0</x:v>
      </x:c>
      <x:c r="AB71" s="556" t="str">
        <x:f>IF(COUNTIF(AB72:AB74,"@@")&gt;0,"@@","OK")</x:f>
        <x:v>OK</x:v>
      </x:c>
      <x:c r="AC71" s="44"/>
      <x:c r="AD71" s="458">
        <x:f>SUBTOTAL(9,AD72:AD74)</x:f>
        <x:v>0</x:v>
      </x:c>
      <x:c r="AE71" s="458">
        <x:f>SUBTOTAL(9,AE72:AE74)</x:f>
        <x:v>0</x:v>
      </x:c>
      <x:c r="AF71" s="556" t="str">
        <x:f>IF(COUNTIF(AF72:AF74,"@@")&gt;0,"@@","OK")</x:f>
        <x:v>OK</x:v>
      </x:c>
      <x:c r="AG71" s="44"/>
      <x:c r="AH71" s="171"/>
      <x:c r="AI71" s="171"/>
      <x:c r="AJ71" s="44"/>
      <x:c r="AK71" s="171"/>
      <x:c r="AL71" s="44"/>
      <x:c r="AM71" s="458">
        <x:f>SUBTOTAL(9,AM72:AM74)</x:f>
        <x:v>0</x:v>
      </x:c>
      <x:c r="AN71" s="458">
        <x:f>SUBTOTAL(9,AN72:AN74)</x:f>
        <x:v>0</x:v>
      </x:c>
      <x:c r="AO71" s="556" t="str">
        <x:f>IF(COUNTIF(AO72:AO74,"@@")&gt;0,"@@","OK")</x:f>
        <x:v>OK</x:v>
      </x:c>
      <x:c r="AP71" s="44"/>
      <x:c r="AQ71" s="458">
        <x:f>SUBTOTAL(9,AQ72:AQ74)</x:f>
        <x:v>0</x:v>
      </x:c>
      <x:c r="AR71" s="458">
        <x:f>SUBTOTAL(9,AR72:AR74)</x:f>
        <x:v>0</x:v>
      </x:c>
      <x:c r="AS71" s="556" t="str">
        <x:f>IF(COUNTIF(AS72:AS74,"@@")&gt;0,"@@","OK")</x:f>
        <x:v>OK</x:v>
      </x:c>
    </x:row>
    <x:row r="72" spans="1:45" s="20" customFormat="1" ht="80.099999999999994" customHeight="1">
      <x:c r="A72" s="155" t="str">
        <x:f>IF(D72="","",COUNTA($C$7:C72)-COUNTBLANK($C$7:C72)+17)</x:f>
        <x:v/>
      </x:c>
      <x:c r="B72" s="156" t="str">
        <x: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x:f>
        <x:v/>
      </x:c>
      <x:c r="C72" s="156" t="str">
        <x:f>IF(D72="","",IF(OR(D72="교육지원과",D72="총무과",D72="인사과"),"직접입력",VLOOKUP(D72,구분표!$A$3:$C$258,3,)))</x:f>
        <x:v/>
      </x:c>
      <x:c r="D72" s="226"/>
      <x:c r="E72" s="213"/>
      <x:c r="F72" s="388" t="str">
        <x:f>IF($E72="","",IF($E72="2추","직접입력","-"))</x:f>
        <x:v/>
      </x:c>
      <x:c r="G72" s="388" t="str">
        <x:f>IF($E72="","",IF($E72="2추","직접입력","-"))</x:f>
        <x:v/>
      </x:c>
      <x:c r="H72" s="214"/>
      <x:c r="I72" s="237" t="str">
        <x:f>IF(H72="","",VLOOKUP($H72,구분표!$O$3:$P$168,2,FALSE))</x:f>
        <x:v/>
      </x:c>
      <x:c r="J72" s="215"/>
      <x:c r="K72" s="459" t="str">
        <x:f>IF($E72="","",IF(OR($E72="2추",$E72="1추",$E72="본예산"),"금액입력","-"))</x:f>
        <x:v/>
      </x:c>
      <x:c r="L72" s="459" t="str">
        <x:f>IF($E72="","",IF($E72="2추","금액입력","-"))</x:f>
        <x:v/>
      </x:c>
      <x:c r="M72" s="461" t="str">
        <x:f t="shared" ref="M72:M74" si="295">IF($E72="","",SUM(K72:L72))</x:f>
        <x:v/>
      </x:c>
      <x:c r="N72" s="460"/>
      <x:c r="O72" s="461">
        <x:f t="shared" ref="O72:O74" si="296">SUM(M72:N72)</x:f>
        <x:v>0</x:v>
      </x:c>
      <x:c r="P72" s="462"/>
      <x:c r="Q72" s="463">
        <x:f t="shared" ref="Q72:Q74" si="297">SUM(M72,P72)</x:f>
        <x:v>0</x:v>
      </x:c>
      <x:c r="R72" s="162" t="str">
        <x:f t="shared" ref="R72:R74" si="298">IF(AND((O72=0),(Q72&gt;0)),"O",IF(AND((N72&lt;0),(O72-Q72&lt;0)),"O","X"))</x:f>
        <x:v>X</x:v>
      </x:c>
      <x:c r="S72" s="230"/>
      <x:c r="T72" s="225"/>
      <x:c r="U72" s="217"/>
      <x:c r="V72" s="203"/>
      <x:c r="W72" s="162" t="str">
        <x:f t="shared" ref="W72:W74" si="299">IF($H72="","",IF(OR($H72="511-01",$H72="511-02",$H72="511-03",$H72="311-02",$H72="311-04",$H72="321-01"),"국도비","도비"))</x:f>
        <x:v/>
      </x:c>
      <x:c r="X72" s="217"/>
      <x:c r="Y72" s="45"/>
      <x:c r="Z72" s="508" t="str">
        <x:f t="shared" ref="Z72:Z74" si="300">IF($W72="","",IF($W72="국도비",$N72,0))</x:f>
        <x:v/>
      </x:c>
      <x:c r="AA72" s="508" t="str">
        <x:f t="shared" ref="AA72:AA74" si="301">IF($W72="","",IF($W72="도비",$N72,0))</x:f>
        <x:v/>
      </x:c>
      <x:c r="AB72" s="374" t="str">
        <x:f t="shared" ref="AB72:AB74" si="302">IF($W72="","",IF($N72=SUM($Z72:$AA72),"OK","@@"))</x:f>
        <x:v/>
      </x:c>
      <x:c r="AC72" s="46"/>
      <x:c r="AD72" s="508" t="str">
        <x:f t="shared" ref="AD72:AD74" si="303">IF($W72="","",IF($W72="국도비",$P72,0))</x:f>
        <x:v/>
      </x:c>
      <x:c r="AE72" s="508" t="str">
        <x:f t="shared" ref="AE72:AE74" si="304">IF($W72="","",IF($W72="도비",$P72,0))</x:f>
        <x:v/>
      </x:c>
      <x:c r="AF72" s="374" t="str">
        <x:f t="shared" ref="AF72:AF74" si="305">IF($W72="","",IF($P72=SUM($AD72:$AE72),"OK","@@"))</x:f>
        <x:v/>
      </x:c>
      <x:c r="AG72" s="46"/>
      <x:c r="AH72" s="374" t="str">
        <x:f>IF(AK72="","",IF($W72="도비","-",CONCATENATE(AK72,"-",COUNTIF(AK$7:$AK72,AK72))))</x:f>
        <x:v/>
      </x:c>
      <x:c r="AI72" s="374" t="str">
        <x:f t="shared" ref="AI72:AI74" si="306">IF($H72="","",IF($H72="511-01","국비",IF($H72="511-02","균특",IF($H72="511-03","기금",IF($H72="311-02","특교",IF($H72="311-04","소교",IF($H72="321-01","소멸","도비")))))))</x:f>
        <x:v/>
      </x:c>
      <x:c r="AJ72" s="46"/>
      <x:c r="AK72" s="374" t="str">
        <x:f t="array" ref="AK72:AK72">IF(OR($D72="",$C72="직접입력",$B72="직접입력"),"",INDEX(구분표!$I$2:$I$337,MATCH(1,(구분표!$G$2:$G$337='5. 기입'!$B72)*(구분표!$E$2:$E$337='5. 기입'!$C72)*(구분표!$F$2:$F$337='5. 기입'!$D72),0)))</x:f>
        <x:v/>
      </x:c>
      <x:c r="AL72" s="47"/>
      <x:c r="AM72" s="472" t="str">
        <x:f>IF($AH72="","",IF($AH72="-",0,SUMIFS('5. 기출'!$AB$7:$AB$2012,'5. 기출'!$AJ$7:$AJ$2012,$AH72)))</x:f>
        <x:v/>
      </x:c>
      <x:c r="AN72" s="377" t="str">
        <x:f>IF($AH72="","",IF($AH72="-",0,COUNTIF('5. 기출'!$AJ$7:$AJ$2012,$AH72)))</x:f>
        <x:v/>
      </x:c>
      <x:c r="AO72" s="374" t="str">
        <x:f t="shared" ref="AO72:AO74" si="307">IF($AH72="","",IF($Z72=$AM72,"OK","@@"))</x:f>
        <x:v/>
      </x:c>
      <x:c r="AP72" s="47"/>
      <x:c r="AQ72" s="472" t="str">
        <x:f>IF($AH72="","",IF($AH72="-",0,SUMIFS('5. 기출'!$AF$7:$AF$2012,'5. 기출'!$AJ$7:$AJ$2012,$AH72)))</x:f>
        <x:v/>
      </x:c>
      <x:c r="AR72" s="377" t="str">
        <x:f>IF($AH72="","",IF($AH72="-",0,COUNTIF('5. 기출'!$AJ$7:$AJ$2012,$AH72)))</x:f>
        <x:v/>
      </x:c>
      <x:c r="AS72" s="374" t="str">
        <x:f t="shared" ref="AS72:AS74" si="308">IF($AH72="","",IF($AD72=$AQ72,"OK","@@"))</x:f>
        <x:v/>
      </x:c>
    </x:row>
    <x:row r="73" spans="1:45" s="20" customFormat="1" ht="80.099999999999994" customHeight="1">
      <x:c r="A73" s="155" t="str">
        <x:f>IF(D73="","",COUNTA($C$7:C73)-COUNTBLANK($C$7:C73)+17)</x:f>
        <x:v/>
      </x:c>
      <x:c r="B73" s="156" t="str">
        <x: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x:f>
        <x:v/>
      </x:c>
      <x:c r="C73" s="156" t="str">
        <x:f>IF(D73="","",IF(OR(D73="교육지원과",D73="총무과",D73="인사과"),"직접입력",VLOOKUP(D73,구분표!$A$3:$C$258,3,)))</x:f>
        <x:v/>
      </x:c>
      <x:c r="D73" s="226"/>
      <x:c r="E73" s="213"/>
      <x:c r="F73" s="388" t="str">
        <x:f t="shared" ref="F73:G74" si="309">IF($E73="","",IF($E73="2추","직접입력","-"))</x:f>
        <x:v/>
      </x:c>
      <x:c r="G73" s="388" t="str">
        <x:f t="shared" si="309"/>
        <x:v/>
      </x:c>
      <x:c r="H73" s="214"/>
      <x:c r="I73" s="237" t="str">
        <x:f>IF(H73="","",VLOOKUP($H73,구분표!$O$3:$P$168,2,FALSE))</x:f>
        <x:v/>
      </x:c>
      <x:c r="J73" s="215"/>
      <x:c r="K73" s="459" t="str">
        <x:f t="shared" ref="K73:K74" si="310">IF($E73="","",IF(OR($E73="2추",$E73="1추",$E73="본예산"),"금액입력","-"))</x:f>
        <x:v/>
      </x:c>
      <x:c r="L73" s="459" t="str">
        <x:f t="shared" ref="L73:L74" si="311">IF($E73="","",IF($E73="2추","금액입력","-"))</x:f>
        <x:v/>
      </x:c>
      <x:c r="M73" s="461" t="str">
        <x:f t="shared" si="295"/>
        <x:v/>
      </x:c>
      <x:c r="N73" s="460"/>
      <x:c r="O73" s="461">
        <x:f t="shared" si="296"/>
        <x:v>0</x:v>
      </x:c>
      <x:c r="P73" s="462"/>
      <x:c r="Q73" s="463">
        <x:f t="shared" si="297"/>
        <x:v>0</x:v>
      </x:c>
      <x:c r="R73" s="162" t="str">
        <x:f t="shared" si="298"/>
        <x:v>X</x:v>
      </x:c>
      <x:c r="S73" s="230"/>
      <x:c r="T73" s="225"/>
      <x:c r="U73" s="217"/>
      <x:c r="V73" s="203"/>
      <x:c r="W73" s="162" t="str">
        <x:f t="shared" si="299"/>
        <x:v/>
      </x:c>
      <x:c r="X73" s="217"/>
      <x:c r="Y73" s="45"/>
      <x:c r="Z73" s="508" t="str">
        <x:f t="shared" si="300"/>
        <x:v/>
      </x:c>
      <x:c r="AA73" s="508" t="str">
        <x:f t="shared" si="301"/>
        <x:v/>
      </x:c>
      <x:c r="AB73" s="374" t="str">
        <x:f t="shared" si="302"/>
        <x:v/>
      </x:c>
      <x:c r="AC73" s="46"/>
      <x:c r="AD73" s="508" t="str">
        <x:f t="shared" si="303"/>
        <x:v/>
      </x:c>
      <x:c r="AE73" s="508" t="str">
        <x:f t="shared" si="304"/>
        <x:v/>
      </x:c>
      <x:c r="AF73" s="374" t="str">
        <x:f t="shared" si="305"/>
        <x:v/>
      </x:c>
      <x:c r="AG73" s="46"/>
      <x:c r="AH73" s="374" t="str">
        <x:f>IF(AK73="","",IF($W73="도비","-",CONCATENATE(AK73,"-",COUNTIF(AK$7:$AK73,AK73))))</x:f>
        <x:v/>
      </x:c>
      <x:c r="AI73" s="374" t="str">
        <x:f t="shared" si="306"/>
        <x:v/>
      </x:c>
      <x:c r="AJ73" s="46"/>
      <x:c r="AK73" s="374" t="str">
        <x:f t="array" ref="AK73:AK73">IF(OR($D73="",$C73="직접입력",$B73="직접입력"),"",INDEX(구분표!$I$2:$I$337,MATCH(1,(구분표!$G$2:$G$337='5. 기입'!$B73)*(구분표!$E$2:$E$337='5. 기입'!$C73)*(구분표!$F$2:$F$337='5. 기입'!$D73),0)))</x:f>
        <x:v/>
      </x:c>
      <x:c r="AL73" s="47"/>
      <x:c r="AM73" s="472" t="str">
        <x:f>IF($AH73="","",IF($AH73="-",0,SUMIFS('5. 기출'!$AB$7:$AB$2012,'5. 기출'!$AJ$7:$AJ$2012,$AH73)))</x:f>
        <x:v/>
      </x:c>
      <x:c r="AN73" s="377" t="str">
        <x:f>IF($AH73="","",IF($AH73="-",0,COUNTIF('5. 기출'!$AJ$7:$AJ$2012,$AH73)))</x:f>
        <x:v/>
      </x:c>
      <x:c r="AO73" s="374" t="str">
        <x:f t="shared" si="307"/>
        <x:v/>
      </x:c>
      <x:c r="AP73" s="47"/>
      <x:c r="AQ73" s="472" t="str">
        <x:f>IF($AH73="","",IF($AH73="-",0,SUMIFS('5. 기출'!$AF$7:$AF$2012,'5. 기출'!$AJ$7:$AJ$2012,$AH73)))</x:f>
        <x:v/>
      </x:c>
      <x:c r="AR73" s="377" t="str">
        <x:f>IF($AH73="","",IF($AH73="-",0,COUNTIF('5. 기출'!$AJ$7:$AJ$2012,$AH73)))</x:f>
        <x:v/>
      </x:c>
      <x:c r="AS73" s="374" t="str">
        <x:f t="shared" si="308"/>
        <x:v/>
      </x:c>
    </x:row>
    <x:row r="74" spans="1:45" s="20" customFormat="1" ht="80.099999999999994" customHeight="1">
      <x:c r="A74" s="155" t="str">
        <x:f>IF(D74="","",COUNTA($C$7:C74)-COUNTBLANK($C$7:C74)+17)</x:f>
        <x:v/>
      </x:c>
      <x:c r="B74" s="156" t="str">
        <x: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x:f>
        <x:v/>
      </x:c>
      <x:c r="C74" s="156" t="str">
        <x:f>IF(D74="","",IF(OR(D74="교육지원과",D74="총무과",D74="인사과"),"직접입력",VLOOKUP(D74,구분표!$A$3:$C$258,3,)))</x:f>
        <x:v/>
      </x:c>
      <x:c r="D74" s="226"/>
      <x:c r="E74" s="213"/>
      <x:c r="F74" s="388" t="str">
        <x:f t="shared" si="309"/>
        <x:v/>
      </x:c>
      <x:c r="G74" s="388" t="str">
        <x:f t="shared" si="309"/>
        <x:v/>
      </x:c>
      <x:c r="H74" s="214"/>
      <x:c r="I74" s="237" t="str">
        <x:f>IF(H74="","",VLOOKUP($H74,구분표!$O$3:$P$168,2,FALSE))</x:f>
        <x:v/>
      </x:c>
      <x:c r="J74" s="215"/>
      <x:c r="K74" s="459" t="str">
        <x:f t="shared" si="310"/>
        <x:v/>
      </x:c>
      <x:c r="L74" s="459" t="str">
        <x:f t="shared" si="311"/>
        <x:v/>
      </x:c>
      <x:c r="M74" s="461" t="str">
        <x:f t="shared" si="295"/>
        <x:v/>
      </x:c>
      <x:c r="N74" s="460"/>
      <x:c r="O74" s="461">
        <x:f t="shared" si="296"/>
        <x:v>0</x:v>
      </x:c>
      <x:c r="P74" s="462"/>
      <x:c r="Q74" s="463">
        <x:f t="shared" si="297"/>
        <x:v>0</x:v>
      </x:c>
      <x:c r="R74" s="162" t="str">
        <x:f t="shared" si="298"/>
        <x:v>X</x:v>
      </x:c>
      <x:c r="S74" s="230"/>
      <x:c r="T74" s="225"/>
      <x:c r="U74" s="217"/>
      <x:c r="V74" s="203"/>
      <x:c r="W74" s="162" t="str">
        <x:f t="shared" si="299"/>
        <x:v/>
      </x:c>
      <x:c r="X74" s="217"/>
      <x:c r="Y74" s="45"/>
      <x:c r="Z74" s="508" t="str">
        <x:f t="shared" si="300"/>
        <x:v/>
      </x:c>
      <x:c r="AA74" s="508" t="str">
        <x:f t="shared" si="301"/>
        <x:v/>
      </x:c>
      <x:c r="AB74" s="374" t="str">
        <x:f t="shared" si="302"/>
        <x:v/>
      </x:c>
      <x:c r="AC74" s="46"/>
      <x:c r="AD74" s="508" t="str">
        <x:f t="shared" si="303"/>
        <x:v/>
      </x:c>
      <x:c r="AE74" s="508" t="str">
        <x:f t="shared" si="304"/>
        <x:v/>
      </x:c>
      <x:c r="AF74" s="374" t="str">
        <x:f t="shared" si="305"/>
        <x:v/>
      </x:c>
      <x:c r="AG74" s="46"/>
      <x:c r="AH74" s="374" t="str">
        <x:f>IF(AK74="","",IF($W74="도비","-",CONCATENATE(AK74,"-",COUNTIF(AK$7:$AK74,AK74))))</x:f>
        <x:v/>
      </x:c>
      <x:c r="AI74" s="374" t="str">
        <x:f t="shared" si="306"/>
        <x:v/>
      </x:c>
      <x:c r="AJ74" s="46"/>
      <x:c r="AK74" s="374" t="str">
        <x:f t="array" ref="AK74:AK74">IF(OR($D74="",$C74="직접입력",$B74="직접입력"),"",INDEX(구분표!$I$2:$I$337,MATCH(1,(구분표!$G$2:$G$337='5. 기입'!$B74)*(구분표!$E$2:$E$337='5. 기입'!$C74)*(구분표!$F$2:$F$337='5. 기입'!$D74),0)))</x:f>
        <x:v/>
      </x:c>
      <x:c r="AL74" s="47"/>
      <x:c r="AM74" s="472" t="str">
        <x:f>IF($AH74="","",IF($AH74="-",0,SUMIFS('5. 기출'!$AB$7:$AB$2012,'5. 기출'!$AJ$7:$AJ$2012,$AH74)))</x:f>
        <x:v/>
      </x:c>
      <x:c r="AN74" s="377" t="str">
        <x:f>IF($AH74="","",IF($AH74="-",0,COUNTIF('5. 기출'!$AJ$7:$AJ$2012,$AH74)))</x:f>
        <x:v/>
      </x:c>
      <x:c r="AO74" s="374" t="str">
        <x:f t="shared" si="307"/>
        <x:v/>
      </x:c>
      <x:c r="AP74" s="47"/>
      <x:c r="AQ74" s="472" t="str">
        <x:f>IF($AH74="","",IF($AH74="-",0,SUMIFS('5. 기출'!$AF$7:$AF$2012,'5. 기출'!$AJ$7:$AJ$2012,$AH74)))</x:f>
        <x:v/>
      </x:c>
      <x:c r="AR74" s="377" t="str">
        <x:f>IF($AH74="","",IF($AH74="-",0,COUNTIF('5. 기출'!$AJ$7:$AJ$2012,$AH74)))</x:f>
        <x:v/>
      </x:c>
      <x:c r="AS74" s="374" t="str">
        <x:f t="shared" si="308"/>
        <x:v/>
      </x:c>
    </x:row>
    <x:row r="75" spans="1:45" ht="60" customHeight="1">
      <x:c r="A75" s="171"/>
      <x:c r="B75" s="888" t="s">
        <x:v>1463</x:v>
      </x:c>
      <x:c r="C75" s="888"/>
      <x:c r="D75" s="888"/>
      <x:c r="E75" s="888"/>
      <x:c r="F75" s="888"/>
      <x:c r="G75" s="888"/>
      <x:c r="H75" s="79"/>
      <x:c r="I75" s="79"/>
      <x:c r="J75" s="349" t="str">
        <x:f>SUBTOTAL(3,J76:J78)&amp;"건"</x:f>
        <x:v>0건</x:v>
      </x:c>
      <x:c r="K75" s="458">
        <x:f t="shared" ref="K75:Q75" si="312">SUBTOTAL(9,K76:K78)</x:f>
        <x:v>0</x:v>
      </x:c>
      <x:c r="L75" s="458">
        <x:f t="shared" si="312"/>
        <x:v>0</x:v>
      </x:c>
      <x:c r="M75" s="458">
        <x:f t="shared" si="312"/>
        <x:v>0</x:v>
      </x:c>
      <x:c r="N75" s="458">
        <x:f t="shared" si="312"/>
        <x:v>0</x:v>
      </x:c>
      <x:c r="O75" s="458">
        <x:f t="shared" si="312"/>
        <x:v>0</x:v>
      </x:c>
      <x:c r="P75" s="458">
        <x:f t="shared" si="312"/>
        <x:v>0</x:v>
      </x:c>
      <x:c r="Q75" s="458">
        <x:f t="shared" si="312"/>
        <x:v>0</x:v>
      </x:c>
      <x:c r="R75" s="78"/>
      <x:c r="S75" s="78"/>
      <x:c r="T75" s="78"/>
      <x:c r="U75" s="78"/>
      <x:c r="V75" s="78"/>
      <x:c r="W75" s="80"/>
      <x:c r="X75" s="80"/>
      <x:c r="Y75" s="43"/>
      <x:c r="Z75" s="458">
        <x:f>SUBTOTAL(9,Z76:Z78)</x:f>
        <x:v>0</x:v>
      </x:c>
      <x:c r="AA75" s="458">
        <x:f>SUBTOTAL(9,AA76:AA78)</x:f>
        <x:v>0</x:v>
      </x:c>
      <x:c r="AB75" s="556" t="str">
        <x:f>IF(COUNTIF(AB76:AB78,"@@")&gt;0,"@@","OK")</x:f>
        <x:v>OK</x:v>
      </x:c>
      <x:c r="AC75" s="44"/>
      <x:c r="AD75" s="458">
        <x:f>SUBTOTAL(9,AD76:AD78)</x:f>
        <x:v>0</x:v>
      </x:c>
      <x:c r="AE75" s="458">
        <x:f>SUBTOTAL(9,AE76:AE78)</x:f>
        <x:v>0</x:v>
      </x:c>
      <x:c r="AF75" s="556" t="str">
        <x:f>IF(COUNTIF(AF76:AF78,"@@")&gt;0,"@@","OK")</x:f>
        <x:v>OK</x:v>
      </x:c>
      <x:c r="AG75" s="44"/>
      <x:c r="AH75" s="171"/>
      <x:c r="AI75" s="171"/>
      <x:c r="AJ75" s="44"/>
      <x:c r="AK75" s="171"/>
      <x:c r="AL75" s="44"/>
      <x:c r="AM75" s="458">
        <x:f>SUBTOTAL(9,AM76:AM78)</x:f>
        <x:v>0</x:v>
      </x:c>
      <x:c r="AN75" s="458">
        <x:f>SUBTOTAL(9,AN76:AN78)</x:f>
        <x:v>0</x:v>
      </x:c>
      <x:c r="AO75" s="556" t="str">
        <x:f>IF(COUNTIF(AO76:AO78,"@@")&gt;0,"@@","OK")</x:f>
        <x:v>OK</x:v>
      </x:c>
      <x:c r="AP75" s="44"/>
      <x:c r="AQ75" s="458">
        <x:f>SUBTOTAL(9,AQ76:AQ78)</x:f>
        <x:v>0</x:v>
      </x:c>
      <x:c r="AR75" s="458">
        <x:f>SUBTOTAL(9,AR76:AR78)</x:f>
        <x:v>0</x:v>
      </x:c>
      <x:c r="AS75" s="556" t="str">
        <x:f>IF(COUNTIF(AS76:AS78,"@@")&gt;0,"@@","OK")</x:f>
        <x:v>OK</x:v>
      </x:c>
    </x:row>
    <x:row r="76" spans="1:45" s="20" customFormat="1" ht="80.099999999999994" customHeight="1">
      <x:c r="A76" s="155" t="str">
        <x:f>IF(D76="","",COUNTA($C$7:C76)-COUNTBLANK($C$7:C76)+18)</x:f>
        <x:v/>
      </x:c>
      <x:c r="B76" s="156" t="str">
        <x: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x:f>
        <x:v/>
      </x:c>
      <x:c r="C76" s="156" t="str">
        <x:f>IF(D76="","",IF(OR(D76="교육지원과",D76="총무과",D76="인사과"),"직접입력",VLOOKUP(D76,구분표!$A$3:$C$258,3,)))</x:f>
        <x:v/>
      </x:c>
      <x:c r="D76" s="226"/>
      <x:c r="E76" s="213"/>
      <x:c r="F76" s="388" t="str">
        <x:f>IF($E76="","",IF($E76="2추","직접입력","-"))</x:f>
        <x:v/>
      </x:c>
      <x:c r="G76" s="388" t="str">
        <x:f>IF($E76="","",IF($E76="2추","직접입력","-"))</x:f>
        <x:v/>
      </x:c>
      <x:c r="H76" s="214"/>
      <x:c r="I76" s="237" t="str">
        <x:f>IF(H76="","",VLOOKUP($H76,구분표!$O$3:$P$168,2,FALSE))</x:f>
        <x:v/>
      </x:c>
      <x:c r="J76" s="215"/>
      <x:c r="K76" s="459" t="str">
        <x:f>IF($E76="","",IF(OR($E76="2추",$E76="1추",$E76="본예산"),"금액입력","-"))</x:f>
        <x:v/>
      </x:c>
      <x:c r="L76" s="459" t="str">
        <x:f>IF($E76="","",IF($E76="2추","금액입력","-"))</x:f>
        <x:v/>
      </x:c>
      <x:c r="M76" s="461" t="str">
        <x:f t="shared" ref="M76:M78" si="313">IF($E76="","",SUM(K76:L76))</x:f>
        <x:v/>
      </x:c>
      <x:c r="N76" s="460"/>
      <x:c r="O76" s="461">
        <x:f t="shared" ref="O76:O78" si="314">SUM(M76:N76)</x:f>
        <x:v>0</x:v>
      </x:c>
      <x:c r="P76" s="462"/>
      <x:c r="Q76" s="463">
        <x:f t="shared" ref="Q76:Q78" si="315">SUM(M76,P76)</x:f>
        <x:v>0</x:v>
      </x:c>
      <x:c r="R76" s="162" t="str">
        <x:f t="shared" ref="R76:R78" si="316">IF(AND((O76=0),(Q76&gt;0)),"O",IF(AND((N76&lt;0),(O76-Q76&lt;0)),"O","X"))</x:f>
        <x:v>X</x:v>
      </x:c>
      <x:c r="S76" s="230"/>
      <x:c r="T76" s="225"/>
      <x:c r="U76" s="217"/>
      <x:c r="V76" s="203"/>
      <x:c r="W76" s="162" t="str">
        <x:f t="shared" ref="W76:W78" si="317">IF($H76="","",IF(OR($H76="511-01",$H76="511-02",$H76="511-03",$H76="311-02",$H76="311-04",$H76="321-01"),"국도비","도비"))</x:f>
        <x:v/>
      </x:c>
      <x:c r="X76" s="217"/>
      <x:c r="Y76" s="45"/>
      <x:c r="Z76" s="508" t="str">
        <x:f t="shared" ref="Z76:Z78" si="318">IF($W76="","",IF($W76="국도비",$N76,0))</x:f>
        <x:v/>
      </x:c>
      <x:c r="AA76" s="508" t="str">
        <x:f t="shared" ref="AA76:AA78" si="319">IF($W76="","",IF($W76="도비",$N76,0))</x:f>
        <x:v/>
      </x:c>
      <x:c r="AB76" s="374" t="str">
        <x:f t="shared" ref="AB76:AB78" si="320">IF($W76="","",IF($N76=SUM($Z76:$AA76),"OK","@@"))</x:f>
        <x:v/>
      </x:c>
      <x:c r="AC76" s="46"/>
      <x:c r="AD76" s="508" t="str">
        <x:f t="shared" ref="AD76:AD78" si="321">IF($W76="","",IF($W76="국도비",$P76,0))</x:f>
        <x:v/>
      </x:c>
      <x:c r="AE76" s="508" t="str">
        <x:f t="shared" ref="AE76:AE78" si="322">IF($W76="","",IF($W76="도비",$P76,0))</x:f>
        <x:v/>
      </x:c>
      <x:c r="AF76" s="374" t="str">
        <x:f t="shared" ref="AF76:AF78" si="323">IF($W76="","",IF($P76=SUM($AD76:$AE76),"OK","@@"))</x:f>
        <x:v/>
      </x:c>
      <x:c r="AG76" s="46"/>
      <x:c r="AH76" s="374" t="str">
        <x:f>IF(AK76="","",IF($W76="도비","-",CONCATENATE(AK76,"-",COUNTIF(AK$7:$AK76,AK76))))</x:f>
        <x:v/>
      </x:c>
      <x:c r="AI76" s="374" t="str">
        <x:f t="shared" ref="AI76:AI78" si="324">IF($H76="","",IF($H76="511-01","국비",IF($H76="511-02","균특",IF($H76="511-03","기금",IF($H76="311-02","특교",IF($H76="311-04","소교",IF($H76="321-01","소멸","도비")))))))</x:f>
        <x:v/>
      </x:c>
      <x:c r="AJ76" s="46"/>
      <x:c r="AK76" s="374" t="str">
        <x:f t="array" ref="AK76:AK76">IF(OR($D76="",$C76="직접입력",$B76="직접입력"),"",INDEX(구분표!$I$2:$I$337,MATCH(1,(구분표!$G$2:$G$337='5. 기입'!$B76)*(구분표!$E$2:$E$337='5. 기입'!$C76)*(구분표!$F$2:$F$337='5. 기입'!$D76),0)))</x:f>
        <x:v/>
      </x:c>
      <x:c r="AL76" s="47"/>
      <x:c r="AM76" s="472" t="str">
        <x:f>IF($AH76="","",IF($AH76="-",0,SUMIFS('5. 기출'!$AB$7:$AB$2012,'5. 기출'!$AJ$7:$AJ$2012,$AH76)))</x:f>
        <x:v/>
      </x:c>
      <x:c r="AN76" s="377" t="str">
        <x:f>IF($AH76="","",IF($AH76="-",0,COUNTIF('5. 기출'!$AJ$7:$AJ$2012,$AH76)))</x:f>
        <x:v/>
      </x:c>
      <x:c r="AO76" s="374" t="str">
        <x:f t="shared" ref="AO76:AO78" si="325">IF($AH76="","",IF($Z76=$AM76,"OK","@@"))</x:f>
        <x:v/>
      </x:c>
      <x:c r="AP76" s="47"/>
      <x:c r="AQ76" s="472" t="str">
        <x:f>IF($AH76="","",IF($AH76="-",0,SUMIFS('5. 기출'!$AF$7:$AF$2012,'5. 기출'!$AJ$7:$AJ$2012,$AH76)))</x:f>
        <x:v/>
      </x:c>
      <x:c r="AR76" s="377" t="str">
        <x:f>IF($AH76="","",IF($AH76="-",0,COUNTIF('5. 기출'!$AJ$7:$AJ$2012,$AH76)))</x:f>
        <x:v/>
      </x:c>
      <x:c r="AS76" s="374" t="str">
        <x:f t="shared" ref="AS76:AS78" si="326">IF($AH76="","",IF($AD76=$AQ76,"OK","@@"))</x:f>
        <x:v/>
      </x:c>
    </x:row>
    <x:row r="77" spans="1:45" s="20" customFormat="1" ht="80.099999999999994" customHeight="1">
      <x:c r="A77" s="155" t="str">
        <x:f>IF(D77="","",COUNTA($C$7:C77)-COUNTBLANK($C$7:C77)+18)</x:f>
        <x:v/>
      </x:c>
      <x:c r="B77" s="156" t="str">
        <x: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x:f>
        <x:v/>
      </x:c>
      <x:c r="C77" s="156" t="str">
        <x:f>IF(D77="","",IF(OR(D77="교육지원과",D77="총무과",D77="인사과"),"직접입력",VLOOKUP(D77,구분표!$A$3:$C$258,3,)))</x:f>
        <x:v/>
      </x:c>
      <x:c r="D77" s="226"/>
      <x:c r="E77" s="213"/>
      <x:c r="F77" s="388" t="str">
        <x:f t="shared" ref="F77:G78" si="327">IF($E77="","",IF($E77="2추","직접입력","-"))</x:f>
        <x:v/>
      </x:c>
      <x:c r="G77" s="388" t="str">
        <x:f t="shared" si="327"/>
        <x:v/>
      </x:c>
      <x:c r="H77" s="214"/>
      <x:c r="I77" s="237" t="str">
        <x:f>IF(H77="","",VLOOKUP($H77,구분표!$O$3:$P$168,2,FALSE))</x:f>
        <x:v/>
      </x:c>
      <x:c r="J77" s="215"/>
      <x:c r="K77" s="459" t="str">
        <x:f t="shared" ref="K77:K78" si="328">IF($E77="","",IF(OR($E77="2추",$E77="1추",$E77="본예산"),"금액입력","-"))</x:f>
        <x:v/>
      </x:c>
      <x:c r="L77" s="459" t="str">
        <x:f t="shared" ref="L77:L78" si="329">IF($E77="","",IF($E77="2추","금액입력","-"))</x:f>
        <x:v/>
      </x:c>
      <x:c r="M77" s="461" t="str">
        <x:f t="shared" si="313"/>
        <x:v/>
      </x:c>
      <x:c r="N77" s="460"/>
      <x:c r="O77" s="461">
        <x:f t="shared" si="314"/>
        <x:v>0</x:v>
      </x:c>
      <x:c r="P77" s="462"/>
      <x:c r="Q77" s="463">
        <x:f t="shared" si="315"/>
        <x:v>0</x:v>
      </x:c>
      <x:c r="R77" s="162" t="str">
        <x:f t="shared" si="316"/>
        <x:v>X</x:v>
      </x:c>
      <x:c r="S77" s="230"/>
      <x:c r="T77" s="225"/>
      <x:c r="U77" s="217"/>
      <x:c r="V77" s="203"/>
      <x:c r="W77" s="162" t="str">
        <x:f t="shared" si="317"/>
        <x:v/>
      </x:c>
      <x:c r="X77" s="217"/>
      <x:c r="Y77" s="45"/>
      <x:c r="Z77" s="508" t="str">
        <x:f t="shared" si="318"/>
        <x:v/>
      </x:c>
      <x:c r="AA77" s="508" t="str">
        <x:f t="shared" si="319"/>
        <x:v/>
      </x:c>
      <x:c r="AB77" s="374" t="str">
        <x:f t="shared" si="320"/>
        <x:v/>
      </x:c>
      <x:c r="AC77" s="46"/>
      <x:c r="AD77" s="508" t="str">
        <x:f t="shared" si="321"/>
        <x:v/>
      </x:c>
      <x:c r="AE77" s="508" t="str">
        <x:f t="shared" si="322"/>
        <x:v/>
      </x:c>
      <x:c r="AF77" s="374" t="str">
        <x:f t="shared" si="323"/>
        <x:v/>
      </x:c>
      <x:c r="AG77" s="46"/>
      <x:c r="AH77" s="374" t="str">
        <x:f>IF(AK77="","",IF($W77="도비","-",CONCATENATE(AK77,"-",COUNTIF(AK$7:$AK77,AK77))))</x:f>
        <x:v/>
      </x:c>
      <x:c r="AI77" s="374" t="str">
        <x:f t="shared" si="324"/>
        <x:v/>
      </x:c>
      <x:c r="AJ77" s="46"/>
      <x:c r="AK77" s="374" t="str">
        <x:f t="array" ref="AK77:AK77">IF(OR($D77="",$C77="직접입력",$B77="직접입력"),"",INDEX(구분표!$I$2:$I$337,MATCH(1,(구분표!$G$2:$G$337='5. 기입'!$B77)*(구분표!$E$2:$E$337='5. 기입'!$C77)*(구분표!$F$2:$F$337='5. 기입'!$D77),0)))</x:f>
        <x:v/>
      </x:c>
      <x:c r="AL77" s="47"/>
      <x:c r="AM77" s="472" t="str">
        <x:f>IF($AH77="","",IF($AH77="-",0,SUMIFS('5. 기출'!$AB$7:$AB$2012,'5. 기출'!$AJ$7:$AJ$2012,$AH77)))</x:f>
        <x:v/>
      </x:c>
      <x:c r="AN77" s="377" t="str">
        <x:f>IF($AH77="","",IF($AH77="-",0,COUNTIF('5. 기출'!$AJ$7:$AJ$2012,$AH77)))</x:f>
        <x:v/>
      </x:c>
      <x:c r="AO77" s="374" t="str">
        <x:f t="shared" si="325"/>
        <x:v/>
      </x:c>
      <x:c r="AP77" s="47"/>
      <x:c r="AQ77" s="472" t="str">
        <x:f>IF($AH77="","",IF($AH77="-",0,SUMIFS('5. 기출'!$AF$7:$AF$2012,'5. 기출'!$AJ$7:$AJ$2012,$AH77)))</x:f>
        <x:v/>
      </x:c>
      <x:c r="AR77" s="377" t="str">
        <x:f>IF($AH77="","",IF($AH77="-",0,COUNTIF('5. 기출'!$AJ$7:$AJ$2012,$AH77)))</x:f>
        <x:v/>
      </x:c>
      <x:c r="AS77" s="374" t="str">
        <x:f t="shared" si="326"/>
        <x:v/>
      </x:c>
    </x:row>
    <x:row r="78" spans="1:45" s="20" customFormat="1" ht="80.099999999999994" customHeight="1">
      <x:c r="A78" s="155" t="str">
        <x:f>IF(D78="","",COUNTA($C$7:C78)-COUNTBLANK($C$7:C78)+18)</x:f>
        <x:v/>
      </x:c>
      <x:c r="B78" s="156" t="str">
        <x: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x:f>
        <x:v/>
      </x:c>
      <x:c r="C78" s="156" t="str">
        <x:f>IF(D78="","",IF(OR(D78="교육지원과",D78="총무과",D78="인사과"),"직접입력",VLOOKUP(D78,구분표!$A$3:$C$258,3,)))</x:f>
        <x:v/>
      </x:c>
      <x:c r="D78" s="226"/>
      <x:c r="E78" s="213"/>
      <x:c r="F78" s="388" t="str">
        <x:f t="shared" si="327"/>
        <x:v/>
      </x:c>
      <x:c r="G78" s="388" t="str">
        <x:f t="shared" si="327"/>
        <x:v/>
      </x:c>
      <x:c r="H78" s="214"/>
      <x:c r="I78" s="237" t="str">
        <x:f>IF(H78="","",VLOOKUP($H78,구분표!$O$3:$P$168,2,FALSE))</x:f>
        <x:v/>
      </x:c>
      <x:c r="J78" s="215"/>
      <x:c r="K78" s="459" t="str">
        <x:f t="shared" si="328"/>
        <x:v/>
      </x:c>
      <x:c r="L78" s="459" t="str">
        <x:f t="shared" si="329"/>
        <x:v/>
      </x:c>
      <x:c r="M78" s="461" t="str">
        <x:f t="shared" si="313"/>
        <x:v/>
      </x:c>
      <x:c r="N78" s="460"/>
      <x:c r="O78" s="461">
        <x:f t="shared" si="314"/>
        <x:v>0</x:v>
      </x:c>
      <x:c r="P78" s="462"/>
      <x:c r="Q78" s="463">
        <x:f t="shared" si="315"/>
        <x:v>0</x:v>
      </x:c>
      <x:c r="R78" s="162" t="str">
        <x:f t="shared" si="316"/>
        <x:v>X</x:v>
      </x:c>
      <x:c r="S78" s="230"/>
      <x:c r="T78" s="225"/>
      <x:c r="U78" s="217"/>
      <x:c r="V78" s="203"/>
      <x:c r="W78" s="162" t="str">
        <x:f t="shared" si="317"/>
        <x:v/>
      </x:c>
      <x:c r="X78" s="217"/>
      <x:c r="Y78" s="45"/>
      <x:c r="Z78" s="508" t="str">
        <x:f t="shared" si="318"/>
        <x:v/>
      </x:c>
      <x:c r="AA78" s="508" t="str">
        <x:f t="shared" si="319"/>
        <x:v/>
      </x:c>
      <x:c r="AB78" s="374" t="str">
        <x:f t="shared" si="320"/>
        <x:v/>
      </x:c>
      <x:c r="AC78" s="46"/>
      <x:c r="AD78" s="508" t="str">
        <x:f t="shared" si="321"/>
        <x:v/>
      </x:c>
      <x:c r="AE78" s="508" t="str">
        <x:f t="shared" si="322"/>
        <x:v/>
      </x:c>
      <x:c r="AF78" s="374" t="str">
        <x:f t="shared" si="323"/>
        <x:v/>
      </x:c>
      <x:c r="AG78" s="46"/>
      <x:c r="AH78" s="374" t="str">
        <x:f>IF(AK78="","",IF($W78="도비","-",CONCATENATE(AK78,"-",COUNTIF(AK$7:$AK78,AK78))))</x:f>
        <x:v/>
      </x:c>
      <x:c r="AI78" s="374" t="str">
        <x:f t="shared" si="324"/>
        <x:v/>
      </x:c>
      <x:c r="AJ78" s="46"/>
      <x:c r="AK78" s="374" t="str">
        <x:f t="array" ref="AK78:AK78">IF(OR($D78="",$C78="직접입력",$B78="직접입력"),"",INDEX(구분표!$I$2:$I$337,MATCH(1,(구분표!$G$2:$G$337='5. 기입'!$B78)*(구분표!$E$2:$E$337='5. 기입'!$C78)*(구분표!$F$2:$F$337='5. 기입'!$D78),0)))</x:f>
        <x:v/>
      </x:c>
      <x:c r="AL78" s="47"/>
      <x:c r="AM78" s="472" t="str">
        <x:f>IF($AH78="","",IF($AH78="-",0,SUMIFS('5. 기출'!$AB$7:$AB$2012,'5. 기출'!$AJ$7:$AJ$2012,$AH78)))</x:f>
        <x:v/>
      </x:c>
      <x:c r="AN78" s="377" t="str">
        <x:f>IF($AH78="","",IF($AH78="-",0,COUNTIF('5. 기출'!$AJ$7:$AJ$2012,$AH78)))</x:f>
        <x:v/>
      </x:c>
      <x:c r="AO78" s="374" t="str">
        <x:f t="shared" si="325"/>
        <x:v/>
      </x:c>
      <x:c r="AP78" s="47"/>
      <x:c r="AQ78" s="472" t="str">
        <x:f>IF($AH78="","",IF($AH78="-",0,SUMIFS('5. 기출'!$AF$7:$AF$2012,'5. 기출'!$AJ$7:$AJ$2012,$AH78)))</x:f>
        <x:v/>
      </x:c>
      <x:c r="AR78" s="377" t="str">
        <x:f>IF($AH78="","",IF($AH78="-",0,COUNTIF('5. 기출'!$AJ$7:$AJ$2012,$AH78)))</x:f>
        <x:v/>
      </x:c>
      <x:c r="AS78" s="374" t="str">
        <x:f t="shared" si="326"/>
        <x:v/>
      </x:c>
    </x:row>
    <x:row r="79" spans="1:45" ht="60" customHeight="1">
      <x:c r="A79" s="171"/>
      <x:c r="B79" s="888" t="s">
        <x:v>1447</x:v>
      </x:c>
      <x:c r="C79" s="888"/>
      <x:c r="D79" s="888"/>
      <x:c r="E79" s="888"/>
      <x:c r="F79" s="888"/>
      <x:c r="G79" s="888"/>
      <x:c r="H79" s="79"/>
      <x:c r="I79" s="79"/>
      <x:c r="J79" s="349" t="str">
        <x:f>SUBTOTAL(3,J80:J82)&amp;"건"</x:f>
        <x:v>0건</x:v>
      </x:c>
      <x:c r="K79" s="458">
        <x:f t="shared" ref="K79:Q79" si="330">SUBTOTAL(9,K80:K82)</x:f>
        <x:v>0</x:v>
      </x:c>
      <x:c r="L79" s="458">
        <x:f t="shared" si="330"/>
        <x:v>0</x:v>
      </x:c>
      <x:c r="M79" s="458">
        <x:f t="shared" si="330"/>
        <x:v>0</x:v>
      </x:c>
      <x:c r="N79" s="458">
        <x:f t="shared" si="330"/>
        <x:v>0</x:v>
      </x:c>
      <x:c r="O79" s="458">
        <x:f t="shared" si="330"/>
        <x:v>0</x:v>
      </x:c>
      <x:c r="P79" s="458">
        <x:f t="shared" si="330"/>
        <x:v>0</x:v>
      </x:c>
      <x:c r="Q79" s="458">
        <x:f t="shared" si="330"/>
        <x:v>0</x:v>
      </x:c>
      <x:c r="R79" s="78"/>
      <x:c r="S79" s="78"/>
      <x:c r="T79" s="78"/>
      <x:c r="U79" s="78"/>
      <x:c r="V79" s="78"/>
      <x:c r="W79" s="80"/>
      <x:c r="X79" s="80"/>
      <x:c r="Y79" s="43"/>
      <x:c r="Z79" s="458">
        <x:f>SUBTOTAL(9,Z80:Z82)</x:f>
        <x:v>0</x:v>
      </x:c>
      <x:c r="AA79" s="458">
        <x:f>SUBTOTAL(9,AA80:AA82)</x:f>
        <x:v>0</x:v>
      </x:c>
      <x:c r="AB79" s="556" t="str">
        <x:f>IF(COUNTIF(AB80:AB82,"@@")&gt;0,"@@","OK")</x:f>
        <x:v>OK</x:v>
      </x:c>
      <x:c r="AC79" s="44"/>
      <x:c r="AD79" s="458">
        <x:f>SUBTOTAL(9,AD80:AD82)</x:f>
        <x:v>0</x:v>
      </x:c>
      <x:c r="AE79" s="458">
        <x:f>SUBTOTAL(9,AE80:AE82)</x:f>
        <x:v>0</x:v>
      </x:c>
      <x:c r="AF79" s="556" t="str">
        <x:f>IF(COUNTIF(AF80:AF82,"@@")&gt;0,"@@","OK")</x:f>
        <x:v>OK</x:v>
      </x:c>
      <x:c r="AG79" s="44"/>
      <x:c r="AH79" s="171"/>
      <x:c r="AI79" s="171"/>
      <x:c r="AJ79" s="44"/>
      <x:c r="AK79" s="171"/>
      <x:c r="AL79" s="44"/>
      <x:c r="AM79" s="458">
        <x:f>SUBTOTAL(9,AM80:AM82)</x:f>
        <x:v>0</x:v>
      </x:c>
      <x:c r="AN79" s="458">
        <x:f>SUBTOTAL(9,AN80:AN82)</x:f>
        <x:v>0</x:v>
      </x:c>
      <x:c r="AO79" s="556" t="str">
        <x:f>IF(COUNTIF(AO80:AO82,"@@")&gt;0,"@@","OK")</x:f>
        <x:v>OK</x:v>
      </x:c>
      <x:c r="AP79" s="44"/>
      <x:c r="AQ79" s="458">
        <x:f>SUBTOTAL(9,AQ80:AQ82)</x:f>
        <x:v>0</x:v>
      </x:c>
      <x:c r="AR79" s="458">
        <x:f>SUBTOTAL(9,AR80:AR82)</x:f>
        <x:v>0</x:v>
      </x:c>
      <x:c r="AS79" s="556" t="str">
        <x:f>IF(COUNTIF(AS80:AS82,"@@")&gt;0,"@@","OK")</x:f>
        <x:v>OK</x:v>
      </x:c>
    </x:row>
    <x:row r="80" spans="1:45" s="20" customFormat="1" ht="80.099999999999994" customHeight="1">
      <x:c r="A80" s="155" t="str">
        <x:f>IF(D80="","",COUNTA($C$7:C80)-COUNTBLANK($C$7:C80)+19)</x:f>
        <x:v/>
      </x:c>
      <x:c r="B80" s="156" t="str">
        <x: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x:f>
        <x:v/>
      </x:c>
      <x:c r="C80" s="156" t="str">
        <x:f>IF(D80="","",IF(OR(D80="교육지원과",D80="총무과",D80="인사과"),"직접입력",VLOOKUP(D80,구분표!$A$3:$C$258,3,)))</x:f>
        <x:v/>
      </x:c>
      <x:c r="D80" s="226"/>
      <x:c r="E80" s="213"/>
      <x:c r="F80" s="388" t="str">
        <x:f>IF($E80="","",IF($E80="2추","직접입력","-"))</x:f>
        <x:v/>
      </x:c>
      <x:c r="G80" s="388" t="str">
        <x:f>IF($E80="","",IF($E80="2추","직접입력","-"))</x:f>
        <x:v/>
      </x:c>
      <x:c r="H80" s="214"/>
      <x:c r="I80" s="237" t="str">
        <x:f>IF(H80="","",VLOOKUP($H80,구분표!$O$3:$P$168,2,FALSE))</x:f>
        <x:v/>
      </x:c>
      <x:c r="J80" s="215"/>
      <x:c r="K80" s="459" t="str">
        <x:f>IF($E80="","",IF(OR($E80="2추",$E80="1추",$E80="본예산"),"금액입력","-"))</x:f>
        <x:v/>
      </x:c>
      <x:c r="L80" s="459" t="str">
        <x:f>IF($E80="","",IF($E80="2추","금액입력","-"))</x:f>
        <x:v/>
      </x:c>
      <x:c r="M80" s="461" t="str">
        <x:f t="shared" ref="M80:M82" si="331">IF($E80="","",SUM(K80:L80))</x:f>
        <x:v/>
      </x:c>
      <x:c r="N80" s="460"/>
      <x:c r="O80" s="461">
        <x:f t="shared" ref="O80:O82" si="332">SUM(M80:N80)</x:f>
        <x:v>0</x:v>
      </x:c>
      <x:c r="P80" s="462"/>
      <x:c r="Q80" s="463">
        <x:f t="shared" ref="Q80:Q82" si="333">SUM(M80,P80)</x:f>
        <x:v>0</x:v>
      </x:c>
      <x:c r="R80" s="162" t="str">
        <x:f t="shared" ref="R80:R82" si="334">IF(AND((O80=0),(Q80&gt;0)),"O",IF(AND((N80&lt;0),(O80-Q80&lt;0)),"O","X"))</x:f>
        <x:v>X</x:v>
      </x:c>
      <x:c r="S80" s="230"/>
      <x:c r="T80" s="225"/>
      <x:c r="U80" s="217"/>
      <x:c r="V80" s="203"/>
      <x:c r="W80" s="162" t="str">
        <x:f t="shared" ref="W80:W82" si="335">IF($H80="","",IF(OR($H80="511-01",$H80="511-02",$H80="511-03",$H80="311-02",$H80="311-04",$H80="321-01"),"국도비","도비"))</x:f>
        <x:v/>
      </x:c>
      <x:c r="X80" s="217"/>
      <x:c r="Y80" s="45"/>
      <x:c r="Z80" s="508" t="str">
        <x:f t="shared" ref="Z80:Z82" si="336">IF($W80="","",IF($W80="국도비",$N80,0))</x:f>
        <x:v/>
      </x:c>
      <x:c r="AA80" s="508" t="str">
        <x:f t="shared" ref="AA80:AA82" si="337">IF($W80="","",IF($W80="도비",$N80,0))</x:f>
        <x:v/>
      </x:c>
      <x:c r="AB80" s="374" t="str">
        <x:f t="shared" ref="AB80:AB82" si="338">IF($W80="","",IF($N80=SUM($Z80:$AA80),"OK","@@"))</x:f>
        <x:v/>
      </x:c>
      <x:c r="AC80" s="46"/>
      <x:c r="AD80" s="508" t="str">
        <x:f t="shared" ref="AD80:AD82" si="339">IF($W80="","",IF($W80="국도비",$P80,0))</x:f>
        <x:v/>
      </x:c>
      <x:c r="AE80" s="508" t="str">
        <x:f t="shared" ref="AE80:AE82" si="340">IF($W80="","",IF($W80="도비",$P80,0))</x:f>
        <x:v/>
      </x:c>
      <x:c r="AF80" s="374" t="str">
        <x:f t="shared" ref="AF80:AF82" si="341">IF($W80="","",IF($P80=SUM($AD80:$AE80),"OK","@@"))</x:f>
        <x:v/>
      </x:c>
      <x:c r="AG80" s="46"/>
      <x:c r="AH80" s="374" t="str">
        <x:f>IF(AK80="","",IF($W80="도비","-",CONCATENATE(AK80,"-",COUNTIF(AK$7:$AK80,AK80))))</x:f>
        <x:v/>
      </x:c>
      <x:c r="AI80" s="374" t="str">
        <x:f t="shared" ref="AI80:AI82" si="342">IF($H80="","",IF($H80="511-01","국비",IF($H80="511-02","균특",IF($H80="511-03","기금",IF($H80="311-02","특교",IF($H80="311-04","소교",IF($H80="321-01","소멸","도비")))))))</x:f>
        <x:v/>
      </x:c>
      <x:c r="AJ80" s="46"/>
      <x:c r="AK80" s="374" t="str">
        <x:f t="array" ref="AK80:AK80">IF(OR($D80="",$C80="직접입력",$B80="직접입력"),"",INDEX(구분표!$I$2:$I$337,MATCH(1,(구분표!$G$2:$G$337='5. 기입'!$B80)*(구분표!$E$2:$E$337='5. 기입'!$C80)*(구분표!$F$2:$F$337='5. 기입'!$D80),0)))</x:f>
        <x:v/>
      </x:c>
      <x:c r="AL80" s="47"/>
      <x:c r="AM80" s="472" t="str">
        <x:f>IF($AH80="","",IF($AH80="-",0,SUMIFS('5. 기출'!$AB$7:$AB$2012,'5. 기출'!$AJ$7:$AJ$2012,$AH80)))</x:f>
        <x:v/>
      </x:c>
      <x:c r="AN80" s="377" t="str">
        <x:f>IF($AH80="","",IF($AH80="-",0,COUNTIF('5. 기출'!$AJ$7:$AJ$2012,$AH80)))</x:f>
        <x:v/>
      </x:c>
      <x:c r="AO80" s="374" t="str">
        <x:f t="shared" ref="AO80:AO82" si="343">IF($AH80="","",IF($Z80=$AM80,"OK","@@"))</x:f>
        <x:v/>
      </x:c>
      <x:c r="AP80" s="47"/>
      <x:c r="AQ80" s="472" t="str">
        <x:f>IF($AH80="","",IF($AH80="-",0,SUMIFS('5. 기출'!$AF$7:$AF$2012,'5. 기출'!$AJ$7:$AJ$2012,$AH80)))</x:f>
        <x:v/>
      </x:c>
      <x:c r="AR80" s="377" t="str">
        <x:f>IF($AH80="","",IF($AH80="-",0,COUNTIF('5. 기출'!$AJ$7:$AJ$2012,$AH80)))</x:f>
        <x:v/>
      </x:c>
      <x:c r="AS80" s="374" t="str">
        <x:f t="shared" ref="AS80:AS82" si="344">IF($AH80="","",IF($AD80=$AQ80,"OK","@@"))</x:f>
        <x:v/>
      </x:c>
    </x:row>
    <x:row r="81" spans="1:45" s="20" customFormat="1" ht="80.099999999999994" customHeight="1">
      <x:c r="A81" s="155" t="str">
        <x:f>IF(D81="","",COUNTA($C$7:C81)-COUNTBLANK($C$7:C81)+19)</x:f>
        <x:v/>
      </x:c>
      <x:c r="B81" s="156" t="str">
        <x: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x:f>
        <x:v/>
      </x:c>
      <x:c r="C81" s="156" t="str">
        <x:f>IF(D81="","",IF(OR(D81="교육지원과",D81="총무과",D81="인사과"),"직접입력",VLOOKUP(D81,구분표!$A$3:$C$258,3,)))</x:f>
        <x:v/>
      </x:c>
      <x:c r="D81" s="226"/>
      <x:c r="E81" s="213"/>
      <x:c r="F81" s="388" t="str">
        <x:f t="shared" ref="F81:G82" si="345">IF($E81="","",IF($E81="2추","직접입력","-"))</x:f>
        <x:v/>
      </x:c>
      <x:c r="G81" s="388" t="str">
        <x:f t="shared" si="345"/>
        <x:v/>
      </x:c>
      <x:c r="H81" s="214"/>
      <x:c r="I81" s="237" t="str">
        <x:f>IF(H81="","",VLOOKUP($H81,구분표!$O$3:$P$168,2,FALSE))</x:f>
        <x:v/>
      </x:c>
      <x:c r="J81" s="215"/>
      <x:c r="K81" s="459" t="str">
        <x:f t="shared" ref="K81:K82" si="346">IF($E81="","",IF(OR($E81="2추",$E81="1추",$E81="본예산"),"금액입력","-"))</x:f>
        <x:v/>
      </x:c>
      <x:c r="L81" s="459" t="str">
        <x:f t="shared" ref="L81:L82" si="347">IF($E81="","",IF($E81="2추","금액입력","-"))</x:f>
        <x:v/>
      </x:c>
      <x:c r="M81" s="461" t="str">
        <x:f t="shared" si="331"/>
        <x:v/>
      </x:c>
      <x:c r="N81" s="460"/>
      <x:c r="O81" s="461">
        <x:f t="shared" si="332"/>
        <x:v>0</x:v>
      </x:c>
      <x:c r="P81" s="462"/>
      <x:c r="Q81" s="463">
        <x:f t="shared" si="333"/>
        <x:v>0</x:v>
      </x:c>
      <x:c r="R81" s="162" t="str">
        <x:f t="shared" si="334"/>
        <x:v>X</x:v>
      </x:c>
      <x:c r="S81" s="230"/>
      <x:c r="T81" s="225"/>
      <x:c r="U81" s="217"/>
      <x:c r="V81" s="203"/>
      <x:c r="W81" s="162" t="str">
        <x:f t="shared" si="335"/>
        <x:v/>
      </x:c>
      <x:c r="X81" s="217"/>
      <x:c r="Y81" s="45"/>
      <x:c r="Z81" s="508" t="str">
        <x:f t="shared" si="336"/>
        <x:v/>
      </x:c>
      <x:c r="AA81" s="508" t="str">
        <x:f t="shared" si="337"/>
        <x:v/>
      </x:c>
      <x:c r="AB81" s="374" t="str">
        <x:f t="shared" si="338"/>
        <x:v/>
      </x:c>
      <x:c r="AC81" s="46"/>
      <x:c r="AD81" s="508" t="str">
        <x:f t="shared" si="339"/>
        <x:v/>
      </x:c>
      <x:c r="AE81" s="508" t="str">
        <x:f t="shared" si="340"/>
        <x:v/>
      </x:c>
      <x:c r="AF81" s="374" t="str">
        <x:f t="shared" si="341"/>
        <x:v/>
      </x:c>
      <x:c r="AG81" s="46"/>
      <x:c r="AH81" s="374" t="str">
        <x:f>IF(AK81="","",IF($W81="도비","-",CONCATENATE(AK81,"-",COUNTIF(AK$7:$AK81,AK81))))</x:f>
        <x:v/>
      </x:c>
      <x:c r="AI81" s="374" t="str">
        <x:f t="shared" si="342"/>
        <x:v/>
      </x:c>
      <x:c r="AJ81" s="46"/>
      <x:c r="AK81" s="374" t="str">
        <x:f t="array" ref="AK81:AK81">IF(OR($D81="",$C81="직접입력",$B81="직접입력"),"",INDEX(구분표!$I$2:$I$337,MATCH(1,(구분표!$G$2:$G$337='5. 기입'!$B81)*(구분표!$E$2:$E$337='5. 기입'!$C81)*(구분표!$F$2:$F$337='5. 기입'!$D81),0)))</x:f>
        <x:v/>
      </x:c>
      <x:c r="AL81" s="47"/>
      <x:c r="AM81" s="472" t="str">
        <x:f>IF($AH81="","",IF($AH81="-",0,SUMIFS('5. 기출'!$AB$7:$AB$2012,'5. 기출'!$AJ$7:$AJ$2012,$AH81)))</x:f>
        <x:v/>
      </x:c>
      <x:c r="AN81" s="377" t="str">
        <x:f>IF($AH81="","",IF($AH81="-",0,COUNTIF('5. 기출'!$AJ$7:$AJ$2012,$AH81)))</x:f>
        <x:v/>
      </x:c>
      <x:c r="AO81" s="374" t="str">
        <x:f t="shared" si="343"/>
        <x:v/>
      </x:c>
      <x:c r="AP81" s="47"/>
      <x:c r="AQ81" s="472" t="str">
        <x:f>IF($AH81="","",IF($AH81="-",0,SUMIFS('5. 기출'!$AF$7:$AF$2012,'5. 기출'!$AJ$7:$AJ$2012,$AH81)))</x:f>
        <x:v/>
      </x:c>
      <x:c r="AR81" s="377" t="str">
        <x:f>IF($AH81="","",IF($AH81="-",0,COUNTIF('5. 기출'!$AJ$7:$AJ$2012,$AH81)))</x:f>
        <x:v/>
      </x:c>
      <x:c r="AS81" s="374" t="str">
        <x:f t="shared" si="344"/>
        <x:v/>
      </x:c>
    </x:row>
    <x:row r="82" spans="1:45" s="20" customFormat="1" ht="80.099999999999994" customHeight="1">
      <x:c r="A82" s="155" t="str">
        <x:f>IF(D82="","",COUNTA($C$7:C82)-COUNTBLANK($C$7:C82)+19)</x:f>
        <x:v/>
      </x:c>
      <x:c r="B82" s="156" t="str">
        <x: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x:f>
        <x:v/>
      </x:c>
      <x:c r="C82" s="156" t="str">
        <x:f>IF(D82="","",IF(OR(D82="교육지원과",D82="총무과",D82="인사과"),"직접입력",VLOOKUP(D82,구분표!$A$3:$C$258,3,)))</x:f>
        <x:v/>
      </x:c>
      <x:c r="D82" s="226"/>
      <x:c r="E82" s="213"/>
      <x:c r="F82" s="388" t="str">
        <x:f t="shared" si="345"/>
        <x:v/>
      </x:c>
      <x:c r="G82" s="388" t="str">
        <x:f t="shared" si="345"/>
        <x:v/>
      </x:c>
      <x:c r="H82" s="214"/>
      <x:c r="I82" s="237" t="str">
        <x:f>IF(H82="","",VLOOKUP($H82,구분표!$O$3:$P$168,2,FALSE))</x:f>
        <x:v/>
      </x:c>
      <x:c r="J82" s="215"/>
      <x:c r="K82" s="459" t="str">
        <x:f t="shared" si="346"/>
        <x:v/>
      </x:c>
      <x:c r="L82" s="459" t="str">
        <x:f t="shared" si="347"/>
        <x:v/>
      </x:c>
      <x:c r="M82" s="461" t="str">
        <x:f t="shared" si="331"/>
        <x:v/>
      </x:c>
      <x:c r="N82" s="460"/>
      <x:c r="O82" s="461">
        <x:f t="shared" si="332"/>
        <x:v>0</x:v>
      </x:c>
      <x:c r="P82" s="462"/>
      <x:c r="Q82" s="463">
        <x:f t="shared" si="333"/>
        <x:v>0</x:v>
      </x:c>
      <x:c r="R82" s="162" t="str">
        <x:f t="shared" si="334"/>
        <x:v>X</x:v>
      </x:c>
      <x:c r="S82" s="230"/>
      <x:c r="T82" s="225"/>
      <x:c r="U82" s="217"/>
      <x:c r="V82" s="203"/>
      <x:c r="W82" s="162" t="str">
        <x:f t="shared" si="335"/>
        <x:v/>
      </x:c>
      <x:c r="X82" s="217"/>
      <x:c r="Y82" s="45"/>
      <x:c r="Z82" s="508" t="str">
        <x:f t="shared" si="336"/>
        <x:v/>
      </x:c>
      <x:c r="AA82" s="508" t="str">
        <x:f t="shared" si="337"/>
        <x:v/>
      </x:c>
      <x:c r="AB82" s="374" t="str">
        <x:f t="shared" si="338"/>
        <x:v/>
      </x:c>
      <x:c r="AC82" s="46"/>
      <x:c r="AD82" s="508" t="str">
        <x:f t="shared" si="339"/>
        <x:v/>
      </x:c>
      <x:c r="AE82" s="508" t="str">
        <x:f t="shared" si="340"/>
        <x:v/>
      </x:c>
      <x:c r="AF82" s="374" t="str">
        <x:f t="shared" si="341"/>
        <x:v/>
      </x:c>
      <x:c r="AG82" s="46"/>
      <x:c r="AH82" s="374" t="str">
        <x:f>IF(AK82="","",IF($W82="도비","-",CONCATENATE(AK82,"-",COUNTIF(AK$7:$AK82,AK82))))</x:f>
        <x:v/>
      </x:c>
      <x:c r="AI82" s="374" t="str">
        <x:f t="shared" si="342"/>
        <x:v/>
      </x:c>
      <x:c r="AJ82" s="46"/>
      <x:c r="AK82" s="374" t="str">
        <x:f t="array" ref="AK82:AK82">IF(OR($D82="",$C82="직접입력",$B82="직접입력"),"",INDEX(구분표!$I$2:$I$337,MATCH(1,(구분표!$G$2:$G$337='5. 기입'!$B82)*(구분표!$E$2:$E$337='5. 기입'!$C82)*(구분표!$F$2:$F$337='5. 기입'!$D82),0)))</x:f>
        <x:v/>
      </x:c>
      <x:c r="AL82" s="47"/>
      <x:c r="AM82" s="472" t="str">
        <x:f>IF($AH82="","",IF($AH82="-",0,SUMIFS('5. 기출'!$AB$7:$AB$2012,'5. 기출'!$AJ$7:$AJ$2012,$AH82)))</x:f>
        <x:v/>
      </x:c>
      <x:c r="AN82" s="377" t="str">
        <x:f>IF($AH82="","",IF($AH82="-",0,COUNTIF('5. 기출'!$AJ$7:$AJ$2012,$AH82)))</x:f>
        <x:v/>
      </x:c>
      <x:c r="AO82" s="374" t="str">
        <x:f t="shared" si="343"/>
        <x:v/>
      </x:c>
      <x:c r="AP82" s="47"/>
      <x:c r="AQ82" s="472" t="str">
        <x:f>IF($AH82="","",IF($AH82="-",0,SUMIFS('5. 기출'!$AF$7:$AF$2012,'5. 기출'!$AJ$7:$AJ$2012,$AH82)))</x:f>
        <x:v/>
      </x:c>
      <x:c r="AR82" s="377" t="str">
        <x:f>IF($AH82="","",IF($AH82="-",0,COUNTIF('5. 기출'!$AJ$7:$AJ$2012,$AH82)))</x:f>
        <x:v/>
      </x:c>
      <x:c r="AS82" s="374" t="str">
        <x:f t="shared" si="344"/>
        <x:v/>
      </x:c>
    </x:row>
    <x:row r="83" spans="1:45" ht="60" customHeight="1">
      <x:c r="A83" s="171"/>
      <x:c r="B83" s="888" t="s">
        <x:v>882</x:v>
      </x:c>
      <x:c r="C83" s="888"/>
      <x:c r="D83" s="888"/>
      <x:c r="E83" s="888"/>
      <x:c r="F83" s="888"/>
      <x:c r="G83" s="888"/>
      <x:c r="H83" s="79"/>
      <x:c r="I83" s="79"/>
      <x:c r="J83" s="349" t="str">
        <x:f>SUBTOTAL(3,J84:J86)&amp;"건"</x:f>
        <x:v>0건</x:v>
      </x:c>
      <x:c r="K83" s="458">
        <x:f t="shared" ref="K83:Q83" si="348">SUBTOTAL(9,K84:K86)</x:f>
        <x:v>0</x:v>
      </x:c>
      <x:c r="L83" s="458">
        <x:f t="shared" si="348"/>
        <x:v>0</x:v>
      </x:c>
      <x:c r="M83" s="458">
        <x:f t="shared" si="348"/>
        <x:v>0</x:v>
      </x:c>
      <x:c r="N83" s="458">
        <x:f t="shared" si="348"/>
        <x:v>0</x:v>
      </x:c>
      <x:c r="O83" s="458">
        <x:f t="shared" si="348"/>
        <x:v>0</x:v>
      </x:c>
      <x:c r="P83" s="458">
        <x:f t="shared" si="348"/>
        <x:v>0</x:v>
      </x:c>
      <x:c r="Q83" s="458">
        <x:f t="shared" si="348"/>
        <x:v>0</x:v>
      </x:c>
      <x:c r="R83" s="78"/>
      <x:c r="S83" s="78"/>
      <x:c r="T83" s="78"/>
      <x:c r="U83" s="78"/>
      <x:c r="V83" s="78"/>
      <x:c r="W83" s="80"/>
      <x:c r="X83" s="80"/>
      <x:c r="Y83" s="43"/>
      <x:c r="Z83" s="458">
        <x:f>SUBTOTAL(9,Z84:Z86)</x:f>
        <x:v>0</x:v>
      </x:c>
      <x:c r="AA83" s="458">
        <x:f>SUBTOTAL(9,AA84:AA86)</x:f>
        <x:v>0</x:v>
      </x:c>
      <x:c r="AB83" s="556" t="str">
        <x:f>IF(COUNTIF(AB84:AB86,"@@")&gt;0,"@@","OK")</x:f>
        <x:v>OK</x:v>
      </x:c>
      <x:c r="AC83" s="44"/>
      <x:c r="AD83" s="458">
        <x:f>SUBTOTAL(9,AD84:AD86)</x:f>
        <x:v>0</x:v>
      </x:c>
      <x:c r="AE83" s="458">
        <x:f>SUBTOTAL(9,AE84:AE86)</x:f>
        <x:v>0</x:v>
      </x:c>
      <x:c r="AF83" s="556" t="str">
        <x:f>IF(COUNTIF(AF84:AF86,"@@")&gt;0,"@@","OK")</x:f>
        <x:v>OK</x:v>
      </x:c>
      <x:c r="AG83" s="44"/>
      <x:c r="AH83" s="171"/>
      <x:c r="AI83" s="171"/>
      <x:c r="AJ83" s="44"/>
      <x:c r="AK83" s="171"/>
      <x:c r="AL83" s="44"/>
      <x:c r="AM83" s="458">
        <x:f>SUBTOTAL(9,AM84:AM86)</x:f>
        <x:v>0</x:v>
      </x:c>
      <x:c r="AN83" s="458">
        <x:f>SUBTOTAL(9,AN84:AN86)</x:f>
        <x:v>0</x:v>
      </x:c>
      <x:c r="AO83" s="556" t="str">
        <x:f>IF(COUNTIF(AO84:AO86,"@@")&gt;0,"@@","OK")</x:f>
        <x:v>OK</x:v>
      </x:c>
      <x:c r="AP83" s="44"/>
      <x:c r="AQ83" s="458">
        <x:f>SUBTOTAL(9,AQ84:AQ86)</x:f>
        <x:v>0</x:v>
      </x:c>
      <x:c r="AR83" s="458">
        <x:f>SUBTOTAL(9,AR84:AR86)</x:f>
        <x:v>0</x:v>
      </x:c>
      <x:c r="AS83" s="556" t="str">
        <x:f>IF(COUNTIF(AS84:AS86,"@@")&gt;0,"@@","OK")</x:f>
        <x:v>OK</x:v>
      </x:c>
    </x:row>
    <x:row r="84" spans="1:45" s="20" customFormat="1" ht="80.099999999999994" customHeight="1">
      <x:c r="A84" s="155" t="str">
        <x:f>IF(D84="","",COUNTA($C$7:C84)-COUNTBLANK($C$7:C84)+20)</x:f>
        <x:v/>
      </x:c>
      <x:c r="B84" s="156" t="str">
        <x: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x:f>
        <x:v/>
      </x:c>
      <x:c r="C84" s="156" t="str">
        <x:f>IF(D84="","",IF(OR(D84="교육지원과",D84="총무과",D84="인사과"),"직접입력",VLOOKUP(D84,구분표!$A$3:$C$258,3,)))</x:f>
        <x:v/>
      </x:c>
      <x:c r="D84" s="226"/>
      <x:c r="E84" s="213"/>
      <x:c r="F84" s="388" t="str">
        <x:f>IF($E84="","",IF($E84="2추","직접입력","-"))</x:f>
        <x:v/>
      </x:c>
      <x:c r="G84" s="388" t="str">
        <x:f>IF($E84="","",IF($E84="2추","직접입력","-"))</x:f>
        <x:v/>
      </x:c>
      <x:c r="H84" s="214"/>
      <x:c r="I84" s="237" t="str">
        <x:f>IF(H84="","",VLOOKUP($H84,구분표!$O$3:$P$168,2,FALSE))</x:f>
        <x:v/>
      </x:c>
      <x:c r="J84" s="215"/>
      <x:c r="K84" s="459" t="str">
        <x:f>IF($E84="","",IF(OR($E84="2추",$E84="1추",$E84="본예산"),"금액입력","-"))</x:f>
        <x:v/>
      </x:c>
      <x:c r="L84" s="459" t="str">
        <x:f>IF($E84="","",IF($E84="2추","금액입력","-"))</x:f>
        <x:v/>
      </x:c>
      <x:c r="M84" s="461" t="str">
        <x:f t="shared" ref="M84:M86" si="349">IF($E84="","",SUM(K84:L84))</x:f>
        <x:v/>
      </x:c>
      <x:c r="N84" s="460"/>
      <x:c r="O84" s="461">
        <x:f t="shared" ref="O84:O86" si="350">SUM(M84:N84)</x:f>
        <x:v>0</x:v>
      </x:c>
      <x:c r="P84" s="462"/>
      <x:c r="Q84" s="463">
        <x:f t="shared" ref="Q84:Q86" si="351">SUM(M84,P84)</x:f>
        <x:v>0</x:v>
      </x:c>
      <x:c r="R84" s="162" t="str">
        <x:f t="shared" ref="R84:R86" si="352">IF(AND((O84=0),(Q84&gt;0)),"O",IF(AND((N84&lt;0),(O84-Q84&lt;0)),"O","X"))</x:f>
        <x:v>X</x:v>
      </x:c>
      <x:c r="S84" s="230"/>
      <x:c r="T84" s="225"/>
      <x:c r="U84" s="217"/>
      <x:c r="V84" s="203"/>
      <x:c r="W84" s="162" t="str">
        <x:f t="shared" ref="W84:W86" si="353">IF($H84="","",IF(OR($H84="511-01",$H84="511-02",$H84="511-03",$H84="311-02",$H84="311-04",$H84="321-01"),"국도비","도비"))</x:f>
        <x:v/>
      </x:c>
      <x:c r="X84" s="217"/>
      <x:c r="Y84" s="45"/>
      <x:c r="Z84" s="508" t="str">
        <x:f t="shared" ref="Z84:Z86" si="354">IF($W84="","",IF($W84="국도비",$N84,0))</x:f>
        <x:v/>
      </x:c>
      <x:c r="AA84" s="508" t="str">
        <x:f t="shared" ref="AA84:AA86" si="355">IF($W84="","",IF($W84="도비",$N84,0))</x:f>
        <x:v/>
      </x:c>
      <x:c r="AB84" s="374" t="str">
        <x:f t="shared" ref="AB84:AB86" si="356">IF($W84="","",IF($N84=SUM($Z84:$AA84),"OK","@@"))</x:f>
        <x:v/>
      </x:c>
      <x:c r="AC84" s="46"/>
      <x:c r="AD84" s="508" t="str">
        <x:f t="shared" ref="AD84:AD86" si="357">IF($W84="","",IF($W84="국도비",$P84,0))</x:f>
        <x:v/>
      </x:c>
      <x:c r="AE84" s="508" t="str">
        <x:f t="shared" ref="AE84:AE86" si="358">IF($W84="","",IF($W84="도비",$P84,0))</x:f>
        <x:v/>
      </x:c>
      <x:c r="AF84" s="374" t="str">
        <x:f t="shared" ref="AF84:AF86" si="359">IF($W84="","",IF($P84=SUM($AD84:$AE84),"OK","@@"))</x:f>
        <x:v/>
      </x:c>
      <x:c r="AG84" s="46"/>
      <x:c r="AH84" s="374" t="str">
        <x:f>IF(AK84="","",IF($W84="도비","-",CONCATENATE(AK84,"-",COUNTIF(AK$7:$AK84,AK84))))</x:f>
        <x:v/>
      </x:c>
      <x:c r="AI84" s="374" t="str">
        <x:f t="shared" ref="AI84:AI86" si="360">IF($H84="","",IF($H84="511-01","국비",IF($H84="511-02","균특",IF($H84="511-03","기금",IF($H84="311-02","특교",IF($H84="311-04","소교",IF($H84="321-01","소멸","도비")))))))</x:f>
        <x:v/>
      </x:c>
      <x:c r="AJ84" s="46"/>
      <x:c r="AK84" s="374" t="str">
        <x:f t="array" ref="AK84:AK84">IF(OR($D84="",$C84="직접입력",$B84="직접입력"),"",INDEX(구분표!$I$2:$I$337,MATCH(1,(구분표!$G$2:$G$337='5. 기입'!$B84)*(구분표!$E$2:$E$337='5. 기입'!$C84)*(구분표!$F$2:$F$337='5. 기입'!$D84),0)))</x:f>
        <x:v/>
      </x:c>
      <x:c r="AL84" s="47"/>
      <x:c r="AM84" s="472" t="str">
        <x:f>IF($AH84="","",IF($AH84="-",0,SUMIFS('5. 기출'!$AB$7:$AB$2012,'5. 기출'!$AJ$7:$AJ$2012,$AH84)))</x:f>
        <x:v/>
      </x:c>
      <x:c r="AN84" s="377" t="str">
        <x:f>IF($AH84="","",IF($AH84="-",0,COUNTIF('5. 기출'!$AJ$7:$AJ$2012,$AH84)))</x:f>
        <x:v/>
      </x:c>
      <x:c r="AO84" s="374" t="str">
        <x:f t="shared" ref="AO84:AO86" si="361">IF($AH84="","",IF($Z84=$AM84,"OK","@@"))</x:f>
        <x:v/>
      </x:c>
      <x:c r="AP84" s="47"/>
      <x:c r="AQ84" s="472" t="str">
        <x:f>IF($AH84="","",IF($AH84="-",0,SUMIFS('5. 기출'!$AF$7:$AF$2012,'5. 기출'!$AJ$7:$AJ$2012,$AH84)))</x:f>
        <x:v/>
      </x:c>
      <x:c r="AR84" s="377" t="str">
        <x:f>IF($AH84="","",IF($AH84="-",0,COUNTIF('5. 기출'!$AJ$7:$AJ$2012,$AH84)))</x:f>
        <x:v/>
      </x:c>
      <x:c r="AS84" s="374" t="str">
        <x:f t="shared" ref="AS84:AS86" si="362">IF($AH84="","",IF($AD84=$AQ84,"OK","@@"))</x:f>
        <x:v/>
      </x:c>
    </x:row>
    <x:row r="85" spans="1:45" s="20" customFormat="1" ht="80.099999999999994" customHeight="1">
      <x:c r="A85" s="155" t="str">
        <x:f>IF(D85="","",COUNTA($C$7:C85)-COUNTBLANK($C$7:C85)+20)</x:f>
        <x:v/>
      </x:c>
      <x:c r="B85" s="156" t="str">
        <x: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x:f>
        <x:v/>
      </x:c>
      <x:c r="C85" s="156" t="str">
        <x:f>IF(D85="","",IF(OR(D85="교육지원과",D85="총무과",D85="인사과"),"직접입력",VLOOKUP(D85,구분표!$A$3:$C$258,3,)))</x:f>
        <x:v/>
      </x:c>
      <x:c r="D85" s="226"/>
      <x:c r="E85" s="213"/>
      <x:c r="F85" s="388" t="str">
        <x:f t="shared" ref="F85:G86" si="363">IF($E85="","",IF($E85="2추","직접입력","-"))</x:f>
        <x:v/>
      </x:c>
      <x:c r="G85" s="388" t="str">
        <x:f t="shared" si="363"/>
        <x:v/>
      </x:c>
      <x:c r="H85" s="214"/>
      <x:c r="I85" s="237" t="str">
        <x:f>IF(H85="","",VLOOKUP($H85,구분표!$O$3:$P$168,2,FALSE))</x:f>
        <x:v/>
      </x:c>
      <x:c r="J85" s="215"/>
      <x:c r="K85" s="459" t="str">
        <x:f t="shared" ref="K85:K86" si="364">IF($E85="","",IF(OR($E85="2추",$E85="1추",$E85="본예산"),"금액입력","-"))</x:f>
        <x:v/>
      </x:c>
      <x:c r="L85" s="459" t="str">
        <x:f t="shared" ref="L85:L86" si="365">IF($E85="","",IF($E85="2추","금액입력","-"))</x:f>
        <x:v/>
      </x:c>
      <x:c r="M85" s="461" t="str">
        <x:f t="shared" si="349"/>
        <x:v/>
      </x:c>
      <x:c r="N85" s="460"/>
      <x:c r="O85" s="461">
        <x:f t="shared" si="350"/>
        <x:v>0</x:v>
      </x:c>
      <x:c r="P85" s="462"/>
      <x:c r="Q85" s="463">
        <x:f t="shared" si="351"/>
        <x:v>0</x:v>
      </x:c>
      <x:c r="R85" s="162" t="str">
        <x:f t="shared" si="352"/>
        <x:v>X</x:v>
      </x:c>
      <x:c r="S85" s="230"/>
      <x:c r="T85" s="225"/>
      <x:c r="U85" s="217"/>
      <x:c r="V85" s="203"/>
      <x:c r="W85" s="162" t="str">
        <x:f t="shared" si="353"/>
        <x:v/>
      </x:c>
      <x:c r="X85" s="217"/>
      <x:c r="Y85" s="45"/>
      <x:c r="Z85" s="508" t="str">
        <x:f t="shared" si="354"/>
        <x:v/>
      </x:c>
      <x:c r="AA85" s="508" t="str">
        <x:f t="shared" si="355"/>
        <x:v/>
      </x:c>
      <x:c r="AB85" s="374" t="str">
        <x:f t="shared" si="356"/>
        <x:v/>
      </x:c>
      <x:c r="AC85" s="46"/>
      <x:c r="AD85" s="508" t="str">
        <x:f t="shared" si="357"/>
        <x:v/>
      </x:c>
      <x:c r="AE85" s="508" t="str">
        <x:f t="shared" si="358"/>
        <x:v/>
      </x:c>
      <x:c r="AF85" s="374" t="str">
        <x:f t="shared" si="359"/>
        <x:v/>
      </x:c>
      <x:c r="AG85" s="46"/>
      <x:c r="AH85" s="374" t="str">
        <x:f>IF(AK85="","",IF($W85="도비","-",CONCATENATE(AK85,"-",COUNTIF(AK$7:$AK85,AK85))))</x:f>
        <x:v/>
      </x:c>
      <x:c r="AI85" s="374" t="str">
        <x:f t="shared" si="360"/>
        <x:v/>
      </x:c>
      <x:c r="AJ85" s="46"/>
      <x:c r="AK85" s="374" t="str">
        <x:f t="array" ref="AK85:AK85">IF(OR($D85="",$C85="직접입력",$B85="직접입력"),"",INDEX(구분표!$I$2:$I$337,MATCH(1,(구분표!$G$2:$G$337='5. 기입'!$B85)*(구분표!$E$2:$E$337='5. 기입'!$C85)*(구분표!$F$2:$F$337='5. 기입'!$D85),0)))</x:f>
        <x:v/>
      </x:c>
      <x:c r="AL85" s="47"/>
      <x:c r="AM85" s="472" t="str">
        <x:f>IF($AH85="","",IF($AH85="-",0,SUMIFS('5. 기출'!$AB$7:$AB$2012,'5. 기출'!$AJ$7:$AJ$2012,$AH85)))</x:f>
        <x:v/>
      </x:c>
      <x:c r="AN85" s="377" t="str">
        <x:f>IF($AH85="","",IF($AH85="-",0,COUNTIF('5. 기출'!$AJ$7:$AJ$2012,$AH85)))</x:f>
        <x:v/>
      </x:c>
      <x:c r="AO85" s="374" t="str">
        <x:f t="shared" si="361"/>
        <x:v/>
      </x:c>
      <x:c r="AP85" s="47"/>
      <x:c r="AQ85" s="472" t="str">
        <x:f>IF($AH85="","",IF($AH85="-",0,SUMIFS('5. 기출'!$AF$7:$AF$2012,'5. 기출'!$AJ$7:$AJ$2012,$AH85)))</x:f>
        <x:v/>
      </x:c>
      <x:c r="AR85" s="377" t="str">
        <x:f>IF($AH85="","",IF($AH85="-",0,COUNTIF('5. 기출'!$AJ$7:$AJ$2012,$AH85)))</x:f>
        <x:v/>
      </x:c>
      <x:c r="AS85" s="374" t="str">
        <x:f t="shared" si="362"/>
        <x:v/>
      </x:c>
    </x:row>
    <x:row r="86" spans="1:45" s="20" customFormat="1" ht="80.099999999999994" customHeight="1">
      <x:c r="A86" s="155" t="str">
        <x:f>IF(D86="","",COUNTA($C$7:C86)-COUNTBLANK($C$7:C86)+20)</x:f>
        <x:v/>
      </x:c>
      <x:c r="B86" s="156" t="str">
        <x: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x:f>
        <x:v/>
      </x:c>
      <x:c r="C86" s="156" t="str">
        <x:f>IF(D86="","",IF(OR(D86="교육지원과",D86="총무과",D86="인사과"),"직접입력",VLOOKUP(D86,구분표!$A$3:$C$258,3,)))</x:f>
        <x:v/>
      </x:c>
      <x:c r="D86" s="226"/>
      <x:c r="E86" s="213"/>
      <x:c r="F86" s="388" t="str">
        <x:f t="shared" si="363"/>
        <x:v/>
      </x:c>
      <x:c r="G86" s="388" t="str">
        <x:f t="shared" si="363"/>
        <x:v/>
      </x:c>
      <x:c r="H86" s="214"/>
      <x:c r="I86" s="237" t="str">
        <x:f>IF(H86="","",VLOOKUP($H86,구분표!$O$3:$P$168,2,FALSE))</x:f>
        <x:v/>
      </x:c>
      <x:c r="J86" s="215"/>
      <x:c r="K86" s="459" t="str">
        <x:f t="shared" si="364"/>
        <x:v/>
      </x:c>
      <x:c r="L86" s="459" t="str">
        <x:f t="shared" si="365"/>
        <x:v/>
      </x:c>
      <x:c r="M86" s="461" t="str">
        <x:f t="shared" si="349"/>
        <x:v/>
      </x:c>
      <x:c r="N86" s="460"/>
      <x:c r="O86" s="461">
        <x:f t="shared" si="350"/>
        <x:v>0</x:v>
      </x:c>
      <x:c r="P86" s="462"/>
      <x:c r="Q86" s="463">
        <x:f t="shared" si="351"/>
        <x:v>0</x:v>
      </x:c>
      <x:c r="R86" s="162" t="str">
        <x:f t="shared" si="352"/>
        <x:v>X</x:v>
      </x:c>
      <x:c r="S86" s="230"/>
      <x:c r="T86" s="225"/>
      <x:c r="U86" s="217"/>
      <x:c r="V86" s="203"/>
      <x:c r="W86" s="162" t="str">
        <x:f t="shared" si="353"/>
        <x:v/>
      </x:c>
      <x:c r="X86" s="217"/>
      <x:c r="Y86" s="45"/>
      <x:c r="Z86" s="508" t="str">
        <x:f t="shared" si="354"/>
        <x:v/>
      </x:c>
      <x:c r="AA86" s="508" t="str">
        <x:f t="shared" si="355"/>
        <x:v/>
      </x:c>
      <x:c r="AB86" s="374" t="str">
        <x:f t="shared" si="356"/>
        <x:v/>
      </x:c>
      <x:c r="AC86" s="46"/>
      <x:c r="AD86" s="508" t="str">
        <x:f t="shared" si="357"/>
        <x:v/>
      </x:c>
      <x:c r="AE86" s="508" t="str">
        <x:f t="shared" si="358"/>
        <x:v/>
      </x:c>
      <x:c r="AF86" s="374" t="str">
        <x:f t="shared" si="359"/>
        <x:v/>
      </x:c>
      <x:c r="AG86" s="46"/>
      <x:c r="AH86" s="374" t="str">
        <x:f>IF(AK86="","",IF($W86="도비","-",CONCATENATE(AK86,"-",COUNTIF(AK$7:$AK86,AK86))))</x:f>
        <x:v/>
      </x:c>
      <x:c r="AI86" s="374" t="str">
        <x:f t="shared" si="360"/>
        <x:v/>
      </x:c>
      <x:c r="AJ86" s="46"/>
      <x:c r="AK86" s="374" t="str">
        <x:f t="array" ref="AK86:AK86">IF(OR($D86="",$C86="직접입력",$B86="직접입력"),"",INDEX(구분표!$I$2:$I$337,MATCH(1,(구분표!$G$2:$G$337='5. 기입'!$B86)*(구분표!$E$2:$E$337='5. 기입'!$C86)*(구분표!$F$2:$F$337='5. 기입'!$D86),0)))</x:f>
        <x:v/>
      </x:c>
      <x:c r="AL86" s="47"/>
      <x:c r="AM86" s="472" t="str">
        <x:f>IF($AH86="","",IF($AH86="-",0,SUMIFS('5. 기출'!$AB$7:$AB$2012,'5. 기출'!$AJ$7:$AJ$2012,$AH86)))</x:f>
        <x:v/>
      </x:c>
      <x:c r="AN86" s="377" t="str">
        <x:f>IF($AH86="","",IF($AH86="-",0,COUNTIF('5. 기출'!$AJ$7:$AJ$2012,$AH86)))</x:f>
        <x:v/>
      </x:c>
      <x:c r="AO86" s="374" t="str">
        <x:f t="shared" si="361"/>
        <x:v/>
      </x:c>
      <x:c r="AP86" s="47"/>
      <x:c r="AQ86" s="472" t="str">
        <x:f>IF($AH86="","",IF($AH86="-",0,SUMIFS('5. 기출'!$AF$7:$AF$2012,'5. 기출'!$AJ$7:$AJ$2012,$AH86)))</x:f>
        <x:v/>
      </x:c>
      <x:c r="AR86" s="377" t="str">
        <x:f>IF($AH86="","",IF($AH86="-",0,COUNTIF('5. 기출'!$AJ$7:$AJ$2012,$AH86)))</x:f>
        <x:v/>
      </x:c>
      <x:c r="AS86" s="374" t="str">
        <x:f t="shared" si="362"/>
        <x:v/>
      </x:c>
    </x:row>
    <x:row r="87" spans="1:45" ht="60" customHeight="1">
      <x:c r="A87" s="171"/>
      <x:c r="B87" s="888" t="s">
        <x:v>1498</x:v>
      </x:c>
      <x:c r="C87" s="888"/>
      <x:c r="D87" s="888"/>
      <x:c r="E87" s="888"/>
      <x:c r="F87" s="888"/>
      <x:c r="G87" s="888"/>
      <x:c r="H87" s="79"/>
      <x:c r="I87" s="79"/>
      <x:c r="J87" s="349" t="str">
        <x:f>SUBTOTAL(3,J88:J90)&amp;"건"</x:f>
        <x:v>0건</x:v>
      </x:c>
      <x:c r="K87" s="458">
        <x:f t="shared" ref="K87:Q87" si="366">SUBTOTAL(9,K88:K90)</x:f>
        <x:v>0</x:v>
      </x:c>
      <x:c r="L87" s="458">
        <x:f t="shared" si="366"/>
        <x:v>0</x:v>
      </x:c>
      <x:c r="M87" s="458">
        <x:f t="shared" si="366"/>
        <x:v>0</x:v>
      </x:c>
      <x:c r="N87" s="458">
        <x:f t="shared" si="366"/>
        <x:v>0</x:v>
      </x:c>
      <x:c r="O87" s="458">
        <x:f t="shared" si="366"/>
        <x:v>0</x:v>
      </x:c>
      <x:c r="P87" s="458">
        <x:f t="shared" si="366"/>
        <x:v>0</x:v>
      </x:c>
      <x:c r="Q87" s="458">
        <x:f t="shared" si="366"/>
        <x:v>0</x:v>
      </x:c>
      <x:c r="R87" s="78"/>
      <x:c r="S87" s="78"/>
      <x:c r="T87" s="78"/>
      <x:c r="U87" s="78"/>
      <x:c r="V87" s="78"/>
      <x:c r="W87" s="80"/>
      <x:c r="X87" s="80"/>
      <x:c r="Y87" s="43"/>
      <x:c r="Z87" s="458">
        <x:f>SUBTOTAL(9,Z88:Z90)</x:f>
        <x:v>0</x:v>
      </x:c>
      <x:c r="AA87" s="458">
        <x:f>SUBTOTAL(9,AA88:AA90)</x:f>
        <x:v>0</x:v>
      </x:c>
      <x:c r="AB87" s="556" t="str">
        <x:f>IF(COUNTIF(AB88:AB90,"@@")&gt;0,"@@","OK")</x:f>
        <x:v>OK</x:v>
      </x:c>
      <x:c r="AC87" s="44"/>
      <x:c r="AD87" s="458">
        <x:f>SUBTOTAL(9,AD88:AD90)</x:f>
        <x:v>0</x:v>
      </x:c>
      <x:c r="AE87" s="458">
        <x:f>SUBTOTAL(9,AE88:AE90)</x:f>
        <x:v>0</x:v>
      </x:c>
      <x:c r="AF87" s="556" t="str">
        <x:f>IF(COUNTIF(AF88:AF90,"@@")&gt;0,"@@","OK")</x:f>
        <x:v>OK</x:v>
      </x:c>
      <x:c r="AG87" s="44"/>
      <x:c r="AH87" s="171"/>
      <x:c r="AI87" s="171"/>
      <x:c r="AJ87" s="44"/>
      <x:c r="AK87" s="171"/>
      <x:c r="AL87" s="44"/>
      <x:c r="AM87" s="458">
        <x:f>SUBTOTAL(9,AM88:AM90)</x:f>
        <x:v>0</x:v>
      </x:c>
      <x:c r="AN87" s="458">
        <x:f>SUBTOTAL(9,AN88:AN90)</x:f>
        <x:v>0</x:v>
      </x:c>
      <x:c r="AO87" s="556" t="str">
        <x:f>IF(COUNTIF(AO88:AO90,"@@")&gt;0,"@@","OK")</x:f>
        <x:v>OK</x:v>
      </x:c>
      <x:c r="AP87" s="44"/>
      <x:c r="AQ87" s="458">
        <x:f>SUBTOTAL(9,AQ88:AQ90)</x:f>
        <x:v>0</x:v>
      </x:c>
      <x:c r="AR87" s="458">
        <x:f>SUBTOTAL(9,AR88:AR90)</x:f>
        <x:v>0</x:v>
      </x:c>
      <x:c r="AS87" s="556" t="str">
        <x:f>IF(COUNTIF(AS88:AS90,"@@")&gt;0,"@@","OK")</x:f>
        <x:v>OK</x:v>
      </x:c>
    </x:row>
    <x:row r="88" spans="1:45" s="20" customFormat="1" ht="80.099999999999994" customHeight="1">
      <x:c r="A88" s="155" t="str">
        <x:f>IF(D88="","",COUNTA($C$7:C88)-COUNTBLANK($C$7:C88)+21)</x:f>
        <x:v/>
      </x:c>
      <x:c r="B88" s="156" t="str">
        <x: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x:f>
        <x:v/>
      </x:c>
      <x:c r="C88" s="156" t="str">
        <x:f>IF(D88="","",IF(OR(D88="교육지원과",D88="총무과",D88="인사과"),"직접입력",VLOOKUP(D88,구분표!$A$3:$C$258,3,)))</x:f>
        <x:v/>
      </x:c>
      <x:c r="D88" s="226"/>
      <x:c r="E88" s="213"/>
      <x:c r="F88" s="388" t="str">
        <x:f>IF($E88="","",IF($E88="2추","직접입력","-"))</x:f>
        <x:v/>
      </x:c>
      <x:c r="G88" s="388" t="str">
        <x:f>IF($E88="","",IF($E88="2추","직접입력","-"))</x:f>
        <x:v/>
      </x:c>
      <x:c r="H88" s="214"/>
      <x:c r="I88" s="237" t="str">
        <x:f>IF(H88="","",VLOOKUP($H88,구분표!$O$3:$P$168,2,FALSE))</x:f>
        <x:v/>
      </x:c>
      <x:c r="J88" s="215"/>
      <x:c r="K88" s="459" t="str">
        <x:f>IF($E88="","",IF(OR($E88="2추",$E88="1추",$E88="본예산"),"금액입력","-"))</x:f>
        <x:v/>
      </x:c>
      <x:c r="L88" s="459" t="str">
        <x:f>IF($E88="","",IF($E88="2추","금액입력","-"))</x:f>
        <x:v/>
      </x:c>
      <x:c r="M88" s="461" t="str">
        <x:f t="shared" ref="M88:M90" si="367">IF($E88="","",SUM(K88:L88))</x:f>
        <x:v/>
      </x:c>
      <x:c r="N88" s="460"/>
      <x:c r="O88" s="461">
        <x:f t="shared" ref="O88:O90" si="368">SUM(M88:N88)</x:f>
        <x:v>0</x:v>
      </x:c>
      <x:c r="P88" s="462"/>
      <x:c r="Q88" s="463">
        <x:f t="shared" ref="Q88:Q90" si="369">SUM(M88,P88)</x:f>
        <x:v>0</x:v>
      </x:c>
      <x:c r="R88" s="162" t="str">
        <x:f t="shared" ref="R88:R90" si="370">IF(AND((O88=0),(Q88&gt;0)),"O",IF(AND((N88&lt;0),(O88-Q88&lt;0)),"O","X"))</x:f>
        <x:v>X</x:v>
      </x:c>
      <x:c r="S88" s="230"/>
      <x:c r="T88" s="225"/>
      <x:c r="U88" s="217"/>
      <x:c r="V88" s="203"/>
      <x:c r="W88" s="162" t="str">
        <x:f t="shared" ref="W88:W90" si="371">IF($H88="","",IF(OR($H88="511-01",$H88="511-02",$H88="511-03",$H88="311-02",$H88="311-04",$H88="321-01"),"국도비","도비"))</x:f>
        <x:v/>
      </x:c>
      <x:c r="X88" s="217"/>
      <x:c r="Y88" s="45"/>
      <x:c r="Z88" s="508" t="str">
        <x:f t="shared" ref="Z88:Z90" si="372">IF($W88="","",IF($W88="국도비",$N88,0))</x:f>
        <x:v/>
      </x:c>
      <x:c r="AA88" s="508" t="str">
        <x:f t="shared" ref="AA88:AA90" si="373">IF($W88="","",IF($W88="도비",$N88,0))</x:f>
        <x:v/>
      </x:c>
      <x:c r="AB88" s="374" t="str">
        <x:f t="shared" ref="AB88:AB90" si="374">IF($W88="","",IF($N88=SUM($Z88:$AA88),"OK","@@"))</x:f>
        <x:v/>
      </x:c>
      <x:c r="AC88" s="46"/>
      <x:c r="AD88" s="508" t="str">
        <x:f t="shared" ref="AD88:AD90" si="375">IF($W88="","",IF($W88="국도비",$P88,0))</x:f>
        <x:v/>
      </x:c>
      <x:c r="AE88" s="508" t="str">
        <x:f t="shared" ref="AE88:AE90" si="376">IF($W88="","",IF($W88="도비",$P88,0))</x:f>
        <x:v/>
      </x:c>
      <x:c r="AF88" s="374" t="str">
        <x:f t="shared" ref="AF88:AF90" si="377">IF($W88="","",IF($P88=SUM($AD88:$AE88),"OK","@@"))</x:f>
        <x:v/>
      </x:c>
      <x:c r="AG88" s="46"/>
      <x:c r="AH88" s="374" t="str">
        <x:f>IF(AK88="","",IF($W88="도비","-",CONCATENATE(AK88,"-",COUNTIF(AK$7:$AK88,AK88))))</x:f>
        <x:v/>
      </x:c>
      <x:c r="AI88" s="374" t="str">
        <x:f t="shared" ref="AI88:AI90" si="378">IF($H88="","",IF($H88="511-01","국비",IF($H88="511-02","균특",IF($H88="511-03","기금",IF($H88="311-02","특교",IF($H88="311-04","소교",IF($H88="321-01","소멸","도비")))))))</x:f>
        <x:v/>
      </x:c>
      <x:c r="AJ88" s="46"/>
      <x:c r="AK88" s="374" t="str">
        <x:f t="array" ref="AK88:AK88">IF(OR($D88="",$C88="직접입력",$B88="직접입력"),"",INDEX(구분표!$I$2:$I$337,MATCH(1,(구분표!$G$2:$G$337='5. 기입'!$B88)*(구분표!$E$2:$E$337='5. 기입'!$C88)*(구분표!$F$2:$F$337='5. 기입'!$D88),0)))</x:f>
        <x:v/>
      </x:c>
      <x:c r="AL88" s="47"/>
      <x:c r="AM88" s="472" t="str">
        <x:f>IF($AH88="","",IF($AH88="-",0,SUMIFS('5. 기출'!$AB$7:$AB$2012,'5. 기출'!$AJ$7:$AJ$2012,$AH88)))</x:f>
        <x:v/>
      </x:c>
      <x:c r="AN88" s="377" t="str">
        <x:f>IF($AH88="","",IF($AH88="-",0,COUNTIF('5. 기출'!$AJ$7:$AJ$2012,$AH88)))</x:f>
        <x:v/>
      </x:c>
      <x:c r="AO88" s="374" t="str">
        <x:f t="shared" ref="AO88:AO90" si="379">IF($AH88="","",IF($Z88=$AM88,"OK","@@"))</x:f>
        <x:v/>
      </x:c>
      <x:c r="AP88" s="47"/>
      <x:c r="AQ88" s="472" t="str">
        <x:f>IF($AH88="","",IF($AH88="-",0,SUMIFS('5. 기출'!$AF$7:$AF$2012,'5. 기출'!$AJ$7:$AJ$2012,$AH88)))</x:f>
        <x:v/>
      </x:c>
      <x:c r="AR88" s="377" t="str">
        <x:f>IF($AH88="","",IF($AH88="-",0,COUNTIF('5. 기출'!$AJ$7:$AJ$2012,$AH88)))</x:f>
        <x:v/>
      </x:c>
      <x:c r="AS88" s="374" t="str">
        <x:f t="shared" ref="AS88:AS90" si="380">IF($AH88="","",IF($AD88=$AQ88,"OK","@@"))</x:f>
        <x:v/>
      </x:c>
    </x:row>
    <x:row r="89" spans="1:45" s="20" customFormat="1" ht="80.099999999999994" customHeight="1">
      <x:c r="A89" s="155" t="str">
        <x:f>IF(D89="","",COUNTA($C$7:C89)-COUNTBLANK($C$7:C89)+21)</x:f>
        <x:v/>
      </x:c>
      <x:c r="B89" s="156" t="str">
        <x: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x:f>
        <x:v/>
      </x:c>
      <x:c r="C89" s="156" t="str">
        <x:f>IF(D89="","",IF(OR(D89="교육지원과",D89="총무과",D89="인사과"),"직접입력",VLOOKUP(D89,구분표!$A$3:$C$258,3,)))</x:f>
        <x:v/>
      </x:c>
      <x:c r="D89" s="226"/>
      <x:c r="E89" s="213"/>
      <x:c r="F89" s="388" t="str">
        <x:f t="shared" ref="F89:G90" si="381">IF($E89="","",IF($E89="2추","직접입력","-"))</x:f>
        <x:v/>
      </x:c>
      <x:c r="G89" s="388" t="str">
        <x:f t="shared" si="381"/>
        <x:v/>
      </x:c>
      <x:c r="H89" s="214"/>
      <x:c r="I89" s="237" t="str">
        <x:f>IF(H89="","",VLOOKUP($H89,구분표!$O$3:$P$168,2,FALSE))</x:f>
        <x:v/>
      </x:c>
      <x:c r="J89" s="215"/>
      <x:c r="K89" s="459" t="str">
        <x:f t="shared" ref="K89:K90" si="382">IF($E89="","",IF(OR($E89="2추",$E89="1추",$E89="본예산"),"금액입력","-"))</x:f>
        <x:v/>
      </x:c>
      <x:c r="L89" s="459" t="str">
        <x:f t="shared" ref="L89:L90" si="383">IF($E89="","",IF($E89="2추","금액입력","-"))</x:f>
        <x:v/>
      </x:c>
      <x:c r="M89" s="461" t="str">
        <x:f t="shared" si="367"/>
        <x:v/>
      </x:c>
      <x:c r="N89" s="460"/>
      <x:c r="O89" s="461">
        <x:f t="shared" si="368"/>
        <x:v>0</x:v>
      </x:c>
      <x:c r="P89" s="462"/>
      <x:c r="Q89" s="463">
        <x:f t="shared" si="369"/>
        <x:v>0</x:v>
      </x:c>
      <x:c r="R89" s="162" t="str">
        <x:f t="shared" si="370"/>
        <x:v>X</x:v>
      </x:c>
      <x:c r="S89" s="230"/>
      <x:c r="T89" s="225"/>
      <x:c r="U89" s="217"/>
      <x:c r="V89" s="203"/>
      <x:c r="W89" s="162" t="str">
        <x:f t="shared" si="371"/>
        <x:v/>
      </x:c>
      <x:c r="X89" s="217"/>
      <x:c r="Y89" s="45"/>
      <x:c r="Z89" s="508" t="str">
        <x:f t="shared" si="372"/>
        <x:v/>
      </x:c>
      <x:c r="AA89" s="508" t="str">
        <x:f t="shared" si="373"/>
        <x:v/>
      </x:c>
      <x:c r="AB89" s="374" t="str">
        <x:f t="shared" si="374"/>
        <x:v/>
      </x:c>
      <x:c r="AC89" s="46"/>
      <x:c r="AD89" s="508" t="str">
        <x:f t="shared" si="375"/>
        <x:v/>
      </x:c>
      <x:c r="AE89" s="508" t="str">
        <x:f t="shared" si="376"/>
        <x:v/>
      </x:c>
      <x:c r="AF89" s="374" t="str">
        <x:f t="shared" si="377"/>
        <x:v/>
      </x:c>
      <x:c r="AG89" s="46"/>
      <x:c r="AH89" s="374" t="str">
        <x:f>IF(AK89="","",IF($W89="도비","-",CONCATENATE(AK89,"-",COUNTIF(AK$7:$AK89,AK89))))</x:f>
        <x:v/>
      </x:c>
      <x:c r="AI89" s="374" t="str">
        <x:f t="shared" si="378"/>
        <x:v/>
      </x:c>
      <x:c r="AJ89" s="46"/>
      <x:c r="AK89" s="374" t="str">
        <x:f t="array" ref="AK89:AK89">IF(OR($D89="",$C89="직접입력",$B89="직접입력"),"",INDEX(구분표!$I$2:$I$337,MATCH(1,(구분표!$G$2:$G$337='5. 기입'!$B89)*(구분표!$E$2:$E$337='5. 기입'!$C89)*(구분표!$F$2:$F$337='5. 기입'!$D89),0)))</x:f>
        <x:v/>
      </x:c>
      <x:c r="AL89" s="47"/>
      <x:c r="AM89" s="472" t="str">
        <x:f>IF($AH89="","",IF($AH89="-",0,SUMIFS('5. 기출'!$AB$7:$AB$2012,'5. 기출'!$AJ$7:$AJ$2012,$AH89)))</x:f>
        <x:v/>
      </x:c>
      <x:c r="AN89" s="377" t="str">
        <x:f>IF($AH89="","",IF($AH89="-",0,COUNTIF('5. 기출'!$AJ$7:$AJ$2012,$AH89)))</x:f>
        <x:v/>
      </x:c>
      <x:c r="AO89" s="374" t="str">
        <x:f t="shared" si="379"/>
        <x:v/>
      </x:c>
      <x:c r="AP89" s="47"/>
      <x:c r="AQ89" s="472" t="str">
        <x:f>IF($AH89="","",IF($AH89="-",0,SUMIFS('5. 기출'!$AF$7:$AF$2012,'5. 기출'!$AJ$7:$AJ$2012,$AH89)))</x:f>
        <x:v/>
      </x:c>
      <x:c r="AR89" s="377" t="str">
        <x:f>IF($AH89="","",IF($AH89="-",0,COUNTIF('5. 기출'!$AJ$7:$AJ$2012,$AH89)))</x:f>
        <x:v/>
      </x:c>
      <x:c r="AS89" s="374" t="str">
        <x:f t="shared" si="380"/>
        <x:v/>
      </x:c>
    </x:row>
    <x:row r="90" spans="1:45" s="20" customFormat="1" ht="80.099999999999994" customHeight="1">
      <x:c r="A90" s="155" t="str">
        <x:f>IF(D90="","",COUNTA($C$7:C90)-COUNTBLANK($C$7:C90)+21)</x:f>
        <x:v/>
      </x:c>
      <x:c r="B90" s="156" t="str">
        <x: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x:f>
        <x:v/>
      </x:c>
      <x:c r="C90" s="156" t="str">
        <x:f>IF(D90="","",IF(OR(D90="교육지원과",D90="총무과",D90="인사과"),"직접입력",VLOOKUP(D90,구분표!$A$3:$C$258,3,)))</x:f>
        <x:v/>
      </x:c>
      <x:c r="D90" s="226"/>
      <x:c r="E90" s="213"/>
      <x:c r="F90" s="388" t="str">
        <x:f t="shared" si="381"/>
        <x:v/>
      </x:c>
      <x:c r="G90" s="388" t="str">
        <x:f t="shared" si="381"/>
        <x:v/>
      </x:c>
      <x:c r="H90" s="214"/>
      <x:c r="I90" s="237" t="str">
        <x:f>IF(H90="","",VLOOKUP($H90,구분표!$O$3:$P$168,2,FALSE))</x:f>
        <x:v/>
      </x:c>
      <x:c r="J90" s="215"/>
      <x:c r="K90" s="459" t="str">
        <x:f t="shared" si="382"/>
        <x:v/>
      </x:c>
      <x:c r="L90" s="459" t="str">
        <x:f t="shared" si="383"/>
        <x:v/>
      </x:c>
      <x:c r="M90" s="461" t="str">
        <x:f t="shared" si="367"/>
        <x:v/>
      </x:c>
      <x:c r="N90" s="460"/>
      <x:c r="O90" s="461">
        <x:f t="shared" si="368"/>
        <x:v>0</x:v>
      </x:c>
      <x:c r="P90" s="462"/>
      <x:c r="Q90" s="463">
        <x:f t="shared" si="369"/>
        <x:v>0</x:v>
      </x:c>
      <x:c r="R90" s="162" t="str">
        <x:f t="shared" si="370"/>
        <x:v>X</x:v>
      </x:c>
      <x:c r="S90" s="230"/>
      <x:c r="T90" s="225"/>
      <x:c r="U90" s="217"/>
      <x:c r="V90" s="203"/>
      <x:c r="W90" s="162" t="str">
        <x:f t="shared" si="371"/>
        <x:v/>
      </x:c>
      <x:c r="X90" s="217"/>
      <x:c r="Y90" s="45"/>
      <x:c r="Z90" s="508" t="str">
        <x:f t="shared" si="372"/>
        <x:v/>
      </x:c>
      <x:c r="AA90" s="508" t="str">
        <x:f t="shared" si="373"/>
        <x:v/>
      </x:c>
      <x:c r="AB90" s="374" t="str">
        <x:f t="shared" si="374"/>
        <x:v/>
      </x:c>
      <x:c r="AC90" s="46"/>
      <x:c r="AD90" s="508" t="str">
        <x:f t="shared" si="375"/>
        <x:v/>
      </x:c>
      <x:c r="AE90" s="508" t="str">
        <x:f t="shared" si="376"/>
        <x:v/>
      </x:c>
      <x:c r="AF90" s="374" t="str">
        <x:f t="shared" si="377"/>
        <x:v/>
      </x:c>
      <x:c r="AG90" s="46"/>
      <x:c r="AH90" s="374" t="str">
        <x:f>IF(AK90="","",IF($W90="도비","-",CONCATENATE(AK90,"-",COUNTIF(AK$7:$AK90,AK90))))</x:f>
        <x:v/>
      </x:c>
      <x:c r="AI90" s="374" t="str">
        <x:f t="shared" si="378"/>
        <x:v/>
      </x:c>
      <x:c r="AJ90" s="46"/>
      <x:c r="AK90" s="374" t="str">
        <x:f t="array" ref="AK90:AK90">IF(OR($D90="",$C90="직접입력",$B90="직접입력"),"",INDEX(구분표!$I$2:$I$337,MATCH(1,(구분표!$G$2:$G$337='5. 기입'!$B90)*(구분표!$E$2:$E$337='5. 기입'!$C90)*(구분표!$F$2:$F$337='5. 기입'!$D90),0)))</x:f>
        <x:v/>
      </x:c>
      <x:c r="AL90" s="47"/>
      <x:c r="AM90" s="472" t="str">
        <x:f>IF($AH90="","",IF($AH90="-",0,SUMIFS('5. 기출'!$AB$7:$AB$2012,'5. 기출'!$AJ$7:$AJ$2012,$AH90)))</x:f>
        <x:v/>
      </x:c>
      <x:c r="AN90" s="377" t="str">
        <x:f>IF($AH90="","",IF($AH90="-",0,COUNTIF('5. 기출'!$AJ$7:$AJ$2012,$AH90)))</x:f>
        <x:v/>
      </x:c>
      <x:c r="AO90" s="374" t="str">
        <x:f t="shared" si="379"/>
        <x:v/>
      </x:c>
      <x:c r="AP90" s="47"/>
      <x:c r="AQ90" s="472" t="str">
        <x:f>IF($AH90="","",IF($AH90="-",0,SUMIFS('5. 기출'!$AF$7:$AF$2012,'5. 기출'!$AJ$7:$AJ$2012,$AH90)))</x:f>
        <x:v/>
      </x:c>
      <x:c r="AR90" s="377" t="str">
        <x:f>IF($AH90="","",IF($AH90="-",0,COUNTIF('5. 기출'!$AJ$7:$AJ$2012,$AH90)))</x:f>
        <x:v/>
      </x:c>
      <x:c r="AS90" s="374" t="str">
        <x:f t="shared" si="380"/>
        <x:v/>
      </x:c>
    </x:row>
    <x:row r="91" spans="1:45" ht="60" customHeight="1">
      <x:c r="A91" s="171"/>
      <x:c r="B91" s="888" t="s">
        <x:v>862</x:v>
      </x:c>
      <x:c r="C91" s="888"/>
      <x:c r="D91" s="888"/>
      <x:c r="E91" s="888"/>
      <x:c r="F91" s="888"/>
      <x:c r="G91" s="888"/>
      <x:c r="H91" s="79"/>
      <x:c r="I91" s="79"/>
      <x:c r="J91" s="349" t="str">
        <x:f>SUBTOTAL(3,J92:J94)&amp;"건"</x:f>
        <x:v>0건</x:v>
      </x:c>
      <x:c r="K91" s="458">
        <x:f t="shared" ref="K91:Q91" si="384">SUBTOTAL(9,K92:K94)</x:f>
        <x:v>0</x:v>
      </x:c>
      <x:c r="L91" s="458">
        <x:f t="shared" si="384"/>
        <x:v>0</x:v>
      </x:c>
      <x:c r="M91" s="458">
        <x:f t="shared" si="384"/>
        <x:v>0</x:v>
      </x:c>
      <x:c r="N91" s="458">
        <x:f t="shared" si="384"/>
        <x:v>0</x:v>
      </x:c>
      <x:c r="O91" s="458">
        <x:f t="shared" si="384"/>
        <x:v>0</x:v>
      </x:c>
      <x:c r="P91" s="458">
        <x:f t="shared" si="384"/>
        <x:v>0</x:v>
      </x:c>
      <x:c r="Q91" s="458">
        <x:f t="shared" si="384"/>
        <x:v>0</x:v>
      </x:c>
      <x:c r="R91" s="78"/>
      <x:c r="S91" s="78"/>
      <x:c r="T91" s="78"/>
      <x:c r="U91" s="78"/>
      <x:c r="V91" s="78"/>
      <x:c r="W91" s="80"/>
      <x:c r="X91" s="80"/>
      <x:c r="Y91" s="43"/>
      <x:c r="Z91" s="458">
        <x:f>SUBTOTAL(9,Z92:Z94)</x:f>
        <x:v>0</x:v>
      </x:c>
      <x:c r="AA91" s="458">
        <x:f>SUBTOTAL(9,AA92:AA94)</x:f>
        <x:v>0</x:v>
      </x:c>
      <x:c r="AB91" s="556" t="str">
        <x:f>IF(COUNTIF(AB92:AB94,"@@")&gt;0,"@@","OK")</x:f>
        <x:v>OK</x:v>
      </x:c>
      <x:c r="AC91" s="44"/>
      <x:c r="AD91" s="458">
        <x:f>SUBTOTAL(9,AD92:AD94)</x:f>
        <x:v>0</x:v>
      </x:c>
      <x:c r="AE91" s="458">
        <x:f>SUBTOTAL(9,AE92:AE94)</x:f>
        <x:v>0</x:v>
      </x:c>
      <x:c r="AF91" s="556" t="str">
        <x:f>IF(COUNTIF(AF92:AF94,"@@")&gt;0,"@@","OK")</x:f>
        <x:v>OK</x:v>
      </x:c>
      <x:c r="AG91" s="44"/>
      <x:c r="AH91" s="171"/>
      <x:c r="AI91" s="171"/>
      <x:c r="AJ91" s="44"/>
      <x:c r="AK91" s="171"/>
      <x:c r="AL91" s="44"/>
      <x:c r="AM91" s="458">
        <x:f>SUBTOTAL(9,AM92:AM94)</x:f>
        <x:v>0</x:v>
      </x:c>
      <x:c r="AN91" s="458">
        <x:f>SUBTOTAL(9,AN92:AN94)</x:f>
        <x:v>0</x:v>
      </x:c>
      <x:c r="AO91" s="556" t="str">
        <x:f>IF(COUNTIF(AO92:AO94,"@@")&gt;0,"@@","OK")</x:f>
        <x:v>OK</x:v>
      </x:c>
      <x:c r="AP91" s="44"/>
      <x:c r="AQ91" s="458">
        <x:f>SUBTOTAL(9,AQ92:AQ94)</x:f>
        <x:v>0</x:v>
      </x:c>
      <x:c r="AR91" s="458">
        <x:f>SUBTOTAL(9,AR92:AR94)</x:f>
        <x:v>0</x:v>
      </x:c>
      <x:c r="AS91" s="556" t="str">
        <x:f>IF(COUNTIF(AS92:AS94,"@@")&gt;0,"@@","OK")</x:f>
        <x:v>OK</x:v>
      </x:c>
    </x:row>
    <x:row r="92" spans="1:45" s="20" customFormat="1" ht="80.099999999999994" customHeight="1">
      <x:c r="A92" s="155" t="str">
        <x:f>IF(D92="","",COUNTA($C$7:C92)-COUNTBLANK($C$7:C92)+22)</x:f>
        <x:v/>
      </x:c>
      <x:c r="B92" s="156" t="str">
        <x: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x:f>
        <x:v/>
      </x:c>
      <x:c r="C92" s="156" t="str">
        <x:f>IF(D92="","",IF(OR(D92="교육지원과",D92="총무과",D92="인사과"),"직접입력",VLOOKUP(D92,구분표!$A$3:$C$258,3,)))</x:f>
        <x:v/>
      </x:c>
      <x:c r="D92" s="226"/>
      <x:c r="E92" s="213"/>
      <x:c r="F92" s="388" t="str">
        <x:f>IF($E92="","",IF($E92="2추","직접입력","-"))</x:f>
        <x:v/>
      </x:c>
      <x:c r="G92" s="388" t="str">
        <x:f>IF($E92="","",IF($E92="2추","직접입력","-"))</x:f>
        <x:v/>
      </x:c>
      <x:c r="H92" s="214"/>
      <x:c r="I92" s="237" t="str">
        <x:f>IF(H92="","",VLOOKUP($H92,구분표!$O$3:$P$168,2,FALSE))</x:f>
        <x:v/>
      </x:c>
      <x:c r="J92" s="215"/>
      <x:c r="K92" s="459" t="str">
        <x:f>IF($E92="","",IF(OR($E92="2추",$E92="1추",$E92="본예산"),"금액입력","-"))</x:f>
        <x:v/>
      </x:c>
      <x:c r="L92" s="459" t="str">
        <x:f>IF($E92="","",IF($E92="2추","금액입력","-"))</x:f>
        <x:v/>
      </x:c>
      <x:c r="M92" s="461" t="str">
        <x:f t="shared" ref="M92:M94" si="385">IF($E92="","",SUM(K92:L92))</x:f>
        <x:v/>
      </x:c>
      <x:c r="N92" s="460"/>
      <x:c r="O92" s="461">
        <x:f t="shared" ref="O92:O94" si="386">SUM(M92:N92)</x:f>
        <x:v>0</x:v>
      </x:c>
      <x:c r="P92" s="462"/>
      <x:c r="Q92" s="463">
        <x:f t="shared" ref="Q92:Q94" si="387">SUM(M92,P92)</x:f>
        <x:v>0</x:v>
      </x:c>
      <x:c r="R92" s="162" t="str">
        <x:f t="shared" ref="R92:R94" si="388">IF(AND((O92=0),(Q92&gt;0)),"O",IF(AND((N92&lt;0),(O92-Q92&lt;0)),"O","X"))</x:f>
        <x:v>X</x:v>
      </x:c>
      <x:c r="S92" s="230"/>
      <x:c r="T92" s="225"/>
      <x:c r="U92" s="217"/>
      <x:c r="V92" s="203"/>
      <x:c r="W92" s="162" t="str">
        <x:f t="shared" ref="W92:W94" si="389">IF($H92="","",IF(OR($H92="511-01",$H92="511-02",$H92="511-03",$H92="311-02",$H92="311-04",$H92="321-01"),"국도비","도비"))</x:f>
        <x:v/>
      </x:c>
      <x:c r="X92" s="217"/>
      <x:c r="Y92" s="45"/>
      <x:c r="Z92" s="508" t="str">
        <x:f t="shared" ref="Z92:Z94" si="390">IF($W92="","",IF($W92="국도비",$N92,0))</x:f>
        <x:v/>
      </x:c>
      <x:c r="AA92" s="508" t="str">
        <x:f t="shared" ref="AA92:AA94" si="391">IF($W92="","",IF($W92="도비",$N92,0))</x:f>
        <x:v/>
      </x:c>
      <x:c r="AB92" s="374" t="str">
        <x:f t="shared" ref="AB92:AB94" si="392">IF($W92="","",IF($N92=SUM($Z92:$AA92),"OK","@@"))</x:f>
        <x:v/>
      </x:c>
      <x:c r="AC92" s="46"/>
      <x:c r="AD92" s="508" t="str">
        <x:f t="shared" ref="AD92:AD94" si="393">IF($W92="","",IF($W92="국도비",$P92,0))</x:f>
        <x:v/>
      </x:c>
      <x:c r="AE92" s="508" t="str">
        <x:f t="shared" ref="AE92:AE94" si="394">IF($W92="","",IF($W92="도비",$P92,0))</x:f>
        <x:v/>
      </x:c>
      <x:c r="AF92" s="374" t="str">
        <x:f t="shared" ref="AF92:AF94" si="395">IF($W92="","",IF($P92=SUM($AD92:$AE92),"OK","@@"))</x:f>
        <x:v/>
      </x:c>
      <x:c r="AG92" s="46"/>
      <x:c r="AH92" s="374" t="str">
        <x:f>IF(AK92="","",IF($W92="도비","-",CONCATENATE(AK92,"-",COUNTIF(AK$7:$AK92,AK92))))</x:f>
        <x:v/>
      </x:c>
      <x:c r="AI92" s="374" t="str">
        <x:f t="shared" ref="AI92:AI94" si="396">IF($H92="","",IF($H92="511-01","국비",IF($H92="511-02","균특",IF($H92="511-03","기금",IF($H92="311-02","특교",IF($H92="311-04","소교",IF($H92="321-01","소멸","도비")))))))</x:f>
        <x:v/>
      </x:c>
      <x:c r="AJ92" s="46"/>
      <x:c r="AK92" s="374" t="str">
        <x:f t="array" ref="AK92:AK92">IF(OR($D92="",$C92="직접입력",$B92="직접입력"),"",INDEX(구분표!$I$2:$I$337,MATCH(1,(구분표!$G$2:$G$337='5. 기입'!$B92)*(구분표!$E$2:$E$337='5. 기입'!$C92)*(구분표!$F$2:$F$337='5. 기입'!$D92),0)))</x:f>
        <x:v/>
      </x:c>
      <x:c r="AL92" s="47"/>
      <x:c r="AM92" s="472" t="str">
        <x:f>IF($AH92="","",IF($AH92="-",0,SUMIFS('5. 기출'!$AB$7:$AB$2012,'5. 기출'!$AJ$7:$AJ$2012,$AH92)))</x:f>
        <x:v/>
      </x:c>
      <x:c r="AN92" s="377" t="str">
        <x:f>IF($AH92="","",IF($AH92="-",0,COUNTIF('5. 기출'!$AJ$7:$AJ$2012,$AH92)))</x:f>
        <x:v/>
      </x:c>
      <x:c r="AO92" s="374" t="str">
        <x:f t="shared" ref="AO92:AO94" si="397">IF($AH92="","",IF($Z92=$AM92,"OK","@@"))</x:f>
        <x:v/>
      </x:c>
      <x:c r="AP92" s="47"/>
      <x:c r="AQ92" s="472" t="str">
        <x:f>IF($AH92="","",IF($AH92="-",0,SUMIFS('5. 기출'!$AF$7:$AF$2012,'5. 기출'!$AJ$7:$AJ$2012,$AH92)))</x:f>
        <x:v/>
      </x:c>
      <x:c r="AR92" s="377" t="str">
        <x:f>IF($AH92="","",IF($AH92="-",0,COUNTIF('5. 기출'!$AJ$7:$AJ$2012,$AH92)))</x:f>
        <x:v/>
      </x:c>
      <x:c r="AS92" s="374" t="str">
        <x:f t="shared" ref="AS92:AS94" si="398">IF($AH92="","",IF($AD92=$AQ92,"OK","@@"))</x:f>
        <x:v/>
      </x:c>
    </x:row>
    <x:row r="93" spans="1:45" s="20" customFormat="1" ht="80.099999999999994" customHeight="1">
      <x:c r="A93" s="155" t="str">
        <x:f>IF(D93="","",COUNTA($C$7:C93)-COUNTBLANK($C$7:C93)+22)</x:f>
        <x:v/>
      </x:c>
      <x:c r="B93" s="156" t="str">
        <x: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x:f>
        <x:v/>
      </x:c>
      <x:c r="C93" s="156" t="str">
        <x:f>IF(D93="","",IF(OR(D93="교육지원과",D93="총무과",D93="인사과"),"직접입력",VLOOKUP(D93,구분표!$A$3:$C$258,3,)))</x:f>
        <x:v/>
      </x:c>
      <x:c r="D93" s="226"/>
      <x:c r="E93" s="213"/>
      <x:c r="F93" s="388" t="str">
        <x:f t="shared" ref="F93:G94" si="399">IF($E93="","",IF($E93="2추","직접입력","-"))</x:f>
        <x:v/>
      </x:c>
      <x:c r="G93" s="388" t="str">
        <x:f t="shared" si="399"/>
        <x:v/>
      </x:c>
      <x:c r="H93" s="214"/>
      <x:c r="I93" s="237" t="str">
        <x:f>IF(H93="","",VLOOKUP($H93,구분표!$O$3:$P$168,2,FALSE))</x:f>
        <x:v/>
      </x:c>
      <x:c r="J93" s="215"/>
      <x:c r="K93" s="459" t="str">
        <x:f t="shared" ref="K93:K94" si="400">IF($E93="","",IF(OR($E93="2추",$E93="1추",$E93="본예산"),"금액입력","-"))</x:f>
        <x:v/>
      </x:c>
      <x:c r="L93" s="459" t="str">
        <x:f t="shared" ref="L93:L94" si="401">IF($E93="","",IF($E93="2추","금액입력","-"))</x:f>
        <x:v/>
      </x:c>
      <x:c r="M93" s="461" t="str">
        <x:f t="shared" si="385"/>
        <x:v/>
      </x:c>
      <x:c r="N93" s="460"/>
      <x:c r="O93" s="461">
        <x:f t="shared" si="386"/>
        <x:v>0</x:v>
      </x:c>
      <x:c r="P93" s="462"/>
      <x:c r="Q93" s="463">
        <x:f t="shared" si="387"/>
        <x:v>0</x:v>
      </x:c>
      <x:c r="R93" s="162" t="str">
        <x:f t="shared" si="388"/>
        <x:v>X</x:v>
      </x:c>
      <x:c r="S93" s="230"/>
      <x:c r="T93" s="225"/>
      <x:c r="U93" s="217"/>
      <x:c r="V93" s="203"/>
      <x:c r="W93" s="162" t="str">
        <x:f t="shared" si="389"/>
        <x:v/>
      </x:c>
      <x:c r="X93" s="217"/>
      <x:c r="Y93" s="45"/>
      <x:c r="Z93" s="508" t="str">
        <x:f t="shared" si="390"/>
        <x:v/>
      </x:c>
      <x:c r="AA93" s="508" t="str">
        <x:f t="shared" si="391"/>
        <x:v/>
      </x:c>
      <x:c r="AB93" s="374" t="str">
        <x:f t="shared" si="392"/>
        <x:v/>
      </x:c>
      <x:c r="AC93" s="46"/>
      <x:c r="AD93" s="508" t="str">
        <x:f t="shared" si="393"/>
        <x:v/>
      </x:c>
      <x:c r="AE93" s="508" t="str">
        <x:f t="shared" si="394"/>
        <x:v/>
      </x:c>
      <x:c r="AF93" s="374" t="str">
        <x:f t="shared" si="395"/>
        <x:v/>
      </x:c>
      <x:c r="AG93" s="46"/>
      <x:c r="AH93" s="374" t="str">
        <x:f>IF(AK93="","",IF($W93="도비","-",CONCATENATE(AK93,"-",COUNTIF(AK$7:$AK93,AK93))))</x:f>
        <x:v/>
      </x:c>
      <x:c r="AI93" s="374" t="str">
        <x:f t="shared" si="396"/>
        <x:v/>
      </x:c>
      <x:c r="AJ93" s="46"/>
      <x:c r="AK93" s="374" t="str">
        <x:f t="array" ref="AK93:AK93">IF(OR($D93="",$C93="직접입력",$B93="직접입력"),"",INDEX(구분표!$I$2:$I$337,MATCH(1,(구분표!$G$2:$G$337='5. 기입'!$B93)*(구분표!$E$2:$E$337='5. 기입'!$C93)*(구분표!$F$2:$F$337='5. 기입'!$D93),0)))</x:f>
        <x:v/>
      </x:c>
      <x:c r="AL93" s="47"/>
      <x:c r="AM93" s="472" t="str">
        <x:f>IF($AH93="","",IF($AH93="-",0,SUMIFS('5. 기출'!$AB$7:$AB$2012,'5. 기출'!$AJ$7:$AJ$2012,$AH93)))</x:f>
        <x:v/>
      </x:c>
      <x:c r="AN93" s="377" t="str">
        <x:f>IF($AH93="","",IF($AH93="-",0,COUNTIF('5. 기출'!$AJ$7:$AJ$2012,$AH93)))</x:f>
        <x:v/>
      </x:c>
      <x:c r="AO93" s="374" t="str">
        <x:f t="shared" si="397"/>
        <x:v/>
      </x:c>
      <x:c r="AP93" s="47"/>
      <x:c r="AQ93" s="472" t="str">
        <x:f>IF($AH93="","",IF($AH93="-",0,SUMIFS('5. 기출'!$AF$7:$AF$2012,'5. 기출'!$AJ$7:$AJ$2012,$AH93)))</x:f>
        <x:v/>
      </x:c>
      <x:c r="AR93" s="377" t="str">
        <x:f>IF($AH93="","",IF($AH93="-",0,COUNTIF('5. 기출'!$AJ$7:$AJ$2012,$AH93)))</x:f>
        <x:v/>
      </x:c>
      <x:c r="AS93" s="374" t="str">
        <x:f t="shared" si="398"/>
        <x:v/>
      </x:c>
    </x:row>
    <x:row r="94" spans="1:45" s="20" customFormat="1" ht="80.099999999999994" customHeight="1">
      <x:c r="A94" s="155" t="str">
        <x:f>IF(D94="","",COUNTA($C$7:C94)-COUNTBLANK($C$7:C94)+22)</x:f>
        <x:v/>
      </x:c>
      <x:c r="B94" s="156" t="str">
        <x: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x:f>
        <x:v/>
      </x:c>
      <x:c r="C94" s="156" t="str">
        <x:f>IF(D94="","",IF(OR(D94="교육지원과",D94="총무과",D94="인사과"),"직접입력",VLOOKUP(D94,구분표!$A$3:$C$258,3,)))</x:f>
        <x:v/>
      </x:c>
      <x:c r="D94" s="226"/>
      <x:c r="E94" s="213"/>
      <x:c r="F94" s="388" t="str">
        <x:f t="shared" si="399"/>
        <x:v/>
      </x:c>
      <x:c r="G94" s="388" t="str">
        <x:f t="shared" si="399"/>
        <x:v/>
      </x:c>
      <x:c r="H94" s="214"/>
      <x:c r="I94" s="237" t="str">
        <x:f>IF(H94="","",VLOOKUP($H94,구분표!$O$3:$P$168,2,FALSE))</x:f>
        <x:v/>
      </x:c>
      <x:c r="J94" s="215"/>
      <x:c r="K94" s="459" t="str">
        <x:f t="shared" si="400"/>
        <x:v/>
      </x:c>
      <x:c r="L94" s="459" t="str">
        <x:f t="shared" si="401"/>
        <x:v/>
      </x:c>
      <x:c r="M94" s="461" t="str">
        <x:f t="shared" si="385"/>
        <x:v/>
      </x:c>
      <x:c r="N94" s="460"/>
      <x:c r="O94" s="461">
        <x:f t="shared" si="386"/>
        <x:v>0</x:v>
      </x:c>
      <x:c r="P94" s="462"/>
      <x:c r="Q94" s="463">
        <x:f t="shared" si="387"/>
        <x:v>0</x:v>
      </x:c>
      <x:c r="R94" s="162" t="str">
        <x:f t="shared" si="388"/>
        <x:v>X</x:v>
      </x:c>
      <x:c r="S94" s="230"/>
      <x:c r="T94" s="225"/>
      <x:c r="U94" s="217"/>
      <x:c r="V94" s="203"/>
      <x:c r="W94" s="162" t="str">
        <x:f t="shared" si="389"/>
        <x:v/>
      </x:c>
      <x:c r="X94" s="217"/>
      <x:c r="Y94" s="45"/>
      <x:c r="Z94" s="508" t="str">
        <x:f t="shared" si="390"/>
        <x:v/>
      </x:c>
      <x:c r="AA94" s="508" t="str">
        <x:f t="shared" si="391"/>
        <x:v/>
      </x:c>
      <x:c r="AB94" s="374" t="str">
        <x:f t="shared" si="392"/>
        <x:v/>
      </x:c>
      <x:c r="AC94" s="46"/>
      <x:c r="AD94" s="508" t="str">
        <x:f t="shared" si="393"/>
        <x:v/>
      </x:c>
      <x:c r="AE94" s="508" t="str">
        <x:f t="shared" si="394"/>
        <x:v/>
      </x:c>
      <x:c r="AF94" s="374" t="str">
        <x:f t="shared" si="395"/>
        <x:v/>
      </x:c>
      <x:c r="AG94" s="46"/>
      <x:c r="AH94" s="374" t="str">
        <x:f>IF(AK94="","",IF($W94="도비","-",CONCATENATE(AK94,"-",COUNTIF(AK$7:$AK94,AK94))))</x:f>
        <x:v/>
      </x:c>
      <x:c r="AI94" s="374" t="str">
        <x:f t="shared" si="396"/>
        <x:v/>
      </x:c>
      <x:c r="AJ94" s="46"/>
      <x:c r="AK94" s="374" t="str">
        <x:f t="array" ref="AK94:AK94">IF(OR($D94="",$C94="직접입력",$B94="직접입력"),"",INDEX(구분표!$I$2:$I$337,MATCH(1,(구분표!$G$2:$G$337='5. 기입'!$B94)*(구분표!$E$2:$E$337='5. 기입'!$C94)*(구분표!$F$2:$F$337='5. 기입'!$D94),0)))</x:f>
        <x:v/>
      </x:c>
      <x:c r="AL94" s="47"/>
      <x:c r="AM94" s="472" t="str">
        <x:f>IF($AH94="","",IF($AH94="-",0,SUMIFS('5. 기출'!$AB$7:$AB$2012,'5. 기출'!$AJ$7:$AJ$2012,$AH94)))</x:f>
        <x:v/>
      </x:c>
      <x:c r="AN94" s="377" t="str">
        <x:f>IF($AH94="","",IF($AH94="-",0,COUNTIF('5. 기출'!$AJ$7:$AJ$2012,$AH94)))</x:f>
        <x:v/>
      </x:c>
      <x:c r="AO94" s="374" t="str">
        <x:f t="shared" si="397"/>
        <x:v/>
      </x:c>
      <x:c r="AP94" s="47"/>
      <x:c r="AQ94" s="472" t="str">
        <x:f>IF($AH94="","",IF($AH94="-",0,SUMIFS('5. 기출'!$AF$7:$AF$2012,'5. 기출'!$AJ$7:$AJ$2012,$AH94)))</x:f>
        <x:v/>
      </x:c>
      <x:c r="AR94" s="377" t="str">
        <x:f>IF($AH94="","",IF($AH94="-",0,COUNTIF('5. 기출'!$AJ$7:$AJ$2012,$AH94)))</x:f>
        <x:v/>
      </x:c>
      <x:c r="AS94" s="374" t="str">
        <x:f t="shared" si="398"/>
        <x:v/>
      </x:c>
    </x:row>
    <x:row r="95" spans="1:45" ht="60" customHeight="1">
      <x:c r="A95" s="171"/>
      <x:c r="B95" s="888" t="s">
        <x:v>444</x:v>
      </x:c>
      <x:c r="C95" s="888"/>
      <x:c r="D95" s="888"/>
      <x:c r="E95" s="888"/>
      <x:c r="F95" s="888"/>
      <x:c r="G95" s="888"/>
      <x:c r="H95" s="79"/>
      <x:c r="I95" s="79"/>
      <x:c r="J95" s="349" t="str">
        <x:f>SUBTOTAL(3,J96:J98)&amp;"건"</x:f>
        <x:v>0건</x:v>
      </x:c>
      <x:c r="K95" s="458">
        <x:f t="shared" ref="K95:Q95" si="402">SUBTOTAL(9,K96:K98)</x:f>
        <x:v>0</x:v>
      </x:c>
      <x:c r="L95" s="458">
        <x:f t="shared" si="402"/>
        <x:v>0</x:v>
      </x:c>
      <x:c r="M95" s="458">
        <x:f t="shared" si="402"/>
        <x:v>0</x:v>
      </x:c>
      <x:c r="N95" s="458">
        <x:f t="shared" si="402"/>
        <x:v>0</x:v>
      </x:c>
      <x:c r="O95" s="458">
        <x:f t="shared" si="402"/>
        <x:v>0</x:v>
      </x:c>
      <x:c r="P95" s="458">
        <x:f t="shared" si="402"/>
        <x:v>0</x:v>
      </x:c>
      <x:c r="Q95" s="458">
        <x:f t="shared" si="402"/>
        <x:v>0</x:v>
      </x:c>
      <x:c r="R95" s="78"/>
      <x:c r="S95" s="78"/>
      <x:c r="T95" s="78"/>
      <x:c r="U95" s="78"/>
      <x:c r="V95" s="78"/>
      <x:c r="W95" s="80"/>
      <x:c r="X95" s="80"/>
      <x:c r="Y95" s="43"/>
      <x:c r="Z95" s="458">
        <x:f>SUBTOTAL(9,Z96:Z98)</x:f>
        <x:v>0</x:v>
      </x:c>
      <x:c r="AA95" s="458">
        <x:f>SUBTOTAL(9,AA96:AA98)</x:f>
        <x:v>0</x:v>
      </x:c>
      <x:c r="AB95" s="556" t="str">
        <x:f>IF(COUNTIF(AB96:AB98,"@@")&gt;0,"@@","OK")</x:f>
        <x:v>OK</x:v>
      </x:c>
      <x:c r="AC95" s="44"/>
      <x:c r="AD95" s="458">
        <x:f>SUBTOTAL(9,AD96:AD98)</x:f>
        <x:v>0</x:v>
      </x:c>
      <x:c r="AE95" s="458">
        <x:f>SUBTOTAL(9,AE96:AE98)</x:f>
        <x:v>0</x:v>
      </x:c>
      <x:c r="AF95" s="556" t="str">
        <x:f>IF(COUNTIF(AF96:AF98,"@@")&gt;0,"@@","OK")</x:f>
        <x:v>OK</x:v>
      </x:c>
      <x:c r="AG95" s="44"/>
      <x:c r="AH95" s="171"/>
      <x:c r="AI95" s="171"/>
      <x:c r="AJ95" s="44"/>
      <x:c r="AK95" s="171"/>
      <x:c r="AL95" s="44"/>
      <x:c r="AM95" s="458">
        <x:f>SUBTOTAL(9,AM96:AM98)</x:f>
        <x:v>0</x:v>
      </x:c>
      <x:c r="AN95" s="458">
        <x:f>SUBTOTAL(9,AN96:AN98)</x:f>
        <x:v>0</x:v>
      </x:c>
      <x:c r="AO95" s="556" t="str">
        <x:f>IF(COUNTIF(AO96:AO98,"@@")&gt;0,"@@","OK")</x:f>
        <x:v>OK</x:v>
      </x:c>
      <x:c r="AP95" s="44"/>
      <x:c r="AQ95" s="458">
        <x:f>SUBTOTAL(9,AQ96:AQ98)</x:f>
        <x:v>0</x:v>
      </x:c>
      <x:c r="AR95" s="458">
        <x:f>SUBTOTAL(9,AR96:AR98)</x:f>
        <x:v>0</x:v>
      </x:c>
      <x:c r="AS95" s="556" t="str">
        <x:f>IF(COUNTIF(AS96:AS98,"@@")&gt;0,"@@","OK")</x:f>
        <x:v>OK</x:v>
      </x:c>
    </x:row>
    <x:row r="96" spans="1:45" s="20" customFormat="1" ht="80.099999999999994" customHeight="1">
      <x:c r="A96" s="155" t="str">
        <x:f>IF(D96="","",COUNTA($C$7:C96)-COUNTBLANK($C$7:C96)+23)</x:f>
        <x:v/>
      </x:c>
      <x:c r="B96" s="156" t="str">
        <x: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x:f>
        <x:v/>
      </x:c>
      <x:c r="C96" s="156" t="str">
        <x:f>IF(D96="","",IF(OR(D96="교육지원과",D96="총무과",D96="인사과"),"직접입력",VLOOKUP(D96,구분표!$A$3:$C$258,3,)))</x:f>
        <x:v/>
      </x:c>
      <x:c r="D96" s="226"/>
      <x:c r="E96" s="213"/>
      <x:c r="F96" s="388" t="str">
        <x:f>IF($E96="","",IF($E96="2추","직접입력","-"))</x:f>
        <x:v/>
      </x:c>
      <x:c r="G96" s="388" t="str">
        <x:f>IF($E96="","",IF($E96="2추","직접입력","-"))</x:f>
        <x:v/>
      </x:c>
      <x:c r="H96" s="214"/>
      <x:c r="I96" s="237" t="str">
        <x:f>IF(H96="","",VLOOKUP($H96,구분표!$O$3:$P$168,2,FALSE))</x:f>
        <x:v/>
      </x:c>
      <x:c r="J96" s="215"/>
      <x:c r="K96" s="459" t="str">
        <x:f>IF($E96="","",IF(OR($E96="2추",$E96="1추",$E96="본예산"),"금액입력","-"))</x:f>
        <x:v/>
      </x:c>
      <x:c r="L96" s="459" t="str">
        <x:f>IF($E96="","",IF($E96="2추","금액입력","-"))</x:f>
        <x:v/>
      </x:c>
      <x:c r="M96" s="461" t="str">
        <x:f t="shared" ref="M96:M98" si="403">IF($E96="","",SUM(K96:L96))</x:f>
        <x:v/>
      </x:c>
      <x:c r="N96" s="460"/>
      <x:c r="O96" s="461">
        <x:f t="shared" ref="O96:O98" si="404">SUM(M96:N96)</x:f>
        <x:v>0</x:v>
      </x:c>
      <x:c r="P96" s="462"/>
      <x:c r="Q96" s="463">
        <x:f t="shared" ref="Q96:Q98" si="405">SUM(M96,P96)</x:f>
        <x:v>0</x:v>
      </x:c>
      <x:c r="R96" s="162" t="str">
        <x:f t="shared" ref="R96:R98" si="406">IF(AND((O96=0),(Q96&gt;0)),"O",IF(AND((N96&lt;0),(O96-Q96&lt;0)),"O","X"))</x:f>
        <x:v>X</x:v>
      </x:c>
      <x:c r="S96" s="230"/>
      <x:c r="T96" s="225"/>
      <x:c r="U96" s="217"/>
      <x:c r="V96" s="203"/>
      <x:c r="W96" s="162" t="str">
        <x:f t="shared" ref="W96:W98" si="407">IF($H96="","",IF(OR($H96="511-01",$H96="511-02",$H96="511-03",$H96="311-02",$H96="311-04",$H96="321-01"),"국도비","도비"))</x:f>
        <x:v/>
      </x:c>
      <x:c r="X96" s="217"/>
      <x:c r="Y96" s="45"/>
      <x:c r="Z96" s="508" t="str">
        <x:f t="shared" ref="Z96:Z98" si="408">IF($W96="","",IF($W96="국도비",$N96,0))</x:f>
        <x:v/>
      </x:c>
      <x:c r="AA96" s="508" t="str">
        <x:f t="shared" ref="AA96:AA98" si="409">IF($W96="","",IF($W96="도비",$N96,0))</x:f>
        <x:v/>
      </x:c>
      <x:c r="AB96" s="374" t="str">
        <x:f t="shared" ref="AB96:AB98" si="410">IF($W96="","",IF($N96=SUM($Z96:$AA96),"OK","@@"))</x:f>
        <x:v/>
      </x:c>
      <x:c r="AC96" s="46"/>
      <x:c r="AD96" s="508" t="str">
        <x:f t="shared" ref="AD96:AD98" si="411">IF($W96="","",IF($W96="국도비",$P96,0))</x:f>
        <x:v/>
      </x:c>
      <x:c r="AE96" s="508" t="str">
        <x:f t="shared" ref="AE96:AE98" si="412">IF($W96="","",IF($W96="도비",$P96,0))</x:f>
        <x:v/>
      </x:c>
      <x:c r="AF96" s="374" t="str">
        <x:f t="shared" ref="AF96:AF98" si="413">IF($W96="","",IF($P96=SUM($AD96:$AE96),"OK","@@"))</x:f>
        <x:v/>
      </x:c>
      <x:c r="AG96" s="46"/>
      <x:c r="AH96" s="374" t="str">
        <x:f>IF(AK96="","",IF($W96="도비","-",CONCATENATE(AK96,"-",COUNTIF(AK$7:$AK96,AK96))))</x:f>
        <x:v/>
      </x:c>
      <x:c r="AI96" s="374" t="str">
        <x:f t="shared" ref="AI96:AI98" si="414">IF($H96="","",IF($H96="511-01","국비",IF($H96="511-02","균특",IF($H96="511-03","기금",IF($H96="311-02","특교",IF($H96="311-04","소교",IF($H96="321-01","소멸","도비")))))))</x:f>
        <x:v/>
      </x:c>
      <x:c r="AJ96" s="46"/>
      <x:c r="AK96" s="374" t="str">
        <x:f t="array" ref="AK96:AK96">IF(OR($D96="",$C96="직접입력",$B96="직접입력"),"",INDEX(구분표!$I$2:$I$337,MATCH(1,(구분표!$G$2:$G$337='5. 기입'!$B96)*(구분표!$E$2:$E$337='5. 기입'!$C96)*(구분표!$F$2:$F$337='5. 기입'!$D96),0)))</x:f>
        <x:v/>
      </x:c>
      <x:c r="AL96" s="47"/>
      <x:c r="AM96" s="472" t="str">
        <x:f>IF($AH96="","",IF($AH96="-",0,SUMIFS('5. 기출'!$AB$7:$AB$2012,'5. 기출'!$AJ$7:$AJ$2012,$AH96)))</x:f>
        <x:v/>
      </x:c>
      <x:c r="AN96" s="377" t="str">
        <x:f>IF($AH96="","",IF($AH96="-",0,COUNTIF('5. 기출'!$AJ$7:$AJ$2012,$AH96)))</x:f>
        <x:v/>
      </x:c>
      <x:c r="AO96" s="374" t="str">
        <x:f t="shared" ref="AO96:AO98" si="415">IF($AH96="","",IF($Z96=$AM96,"OK","@@"))</x:f>
        <x:v/>
      </x:c>
      <x:c r="AP96" s="47"/>
      <x:c r="AQ96" s="472" t="str">
        <x:f>IF($AH96="","",IF($AH96="-",0,SUMIFS('5. 기출'!$AF$7:$AF$2012,'5. 기출'!$AJ$7:$AJ$2012,$AH96)))</x:f>
        <x:v/>
      </x:c>
      <x:c r="AR96" s="377" t="str">
        <x:f>IF($AH96="","",IF($AH96="-",0,COUNTIF('5. 기출'!$AJ$7:$AJ$2012,$AH96)))</x:f>
        <x:v/>
      </x:c>
      <x:c r="AS96" s="374" t="str">
        <x:f t="shared" ref="AS96:AS98" si="416">IF($AH96="","",IF($AD96=$AQ96,"OK","@@"))</x:f>
        <x:v/>
      </x:c>
    </x:row>
    <x:row r="97" spans="1:45" s="20" customFormat="1" ht="80.099999999999994" customHeight="1">
      <x:c r="A97" s="155" t="str">
        <x:f>IF(D97="","",COUNTA($C$7:C97)-COUNTBLANK($C$7:C97)+23)</x:f>
        <x:v/>
      </x:c>
      <x:c r="B97" s="156" t="str">
        <x: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x:f>
        <x:v/>
      </x:c>
      <x:c r="C97" s="156" t="str">
        <x:f>IF(D97="","",IF(OR(D97="교육지원과",D97="총무과",D97="인사과"),"직접입력",VLOOKUP(D97,구분표!$A$3:$C$258,3,)))</x:f>
        <x:v/>
      </x:c>
      <x:c r="D97" s="226"/>
      <x:c r="E97" s="213"/>
      <x:c r="F97" s="388" t="str">
        <x:f t="shared" ref="F97:G98" si="417">IF($E97="","",IF($E97="2추","직접입력","-"))</x:f>
        <x:v/>
      </x:c>
      <x:c r="G97" s="388" t="str">
        <x:f t="shared" si="417"/>
        <x:v/>
      </x:c>
      <x:c r="H97" s="214"/>
      <x:c r="I97" s="237" t="str">
        <x:f>IF(H97="","",VLOOKUP($H97,구분표!$O$3:$P$168,2,FALSE))</x:f>
        <x:v/>
      </x:c>
      <x:c r="J97" s="215"/>
      <x:c r="K97" s="459" t="str">
        <x:f t="shared" ref="K97:K98" si="418">IF($E97="","",IF(OR($E97="2추",$E97="1추",$E97="본예산"),"금액입력","-"))</x:f>
        <x:v/>
      </x:c>
      <x:c r="L97" s="459" t="str">
        <x:f t="shared" ref="L97:L98" si="419">IF($E97="","",IF($E97="2추","금액입력","-"))</x:f>
        <x:v/>
      </x:c>
      <x:c r="M97" s="461" t="str">
        <x:f t="shared" si="403"/>
        <x:v/>
      </x:c>
      <x:c r="N97" s="460"/>
      <x:c r="O97" s="461">
        <x:f t="shared" si="404"/>
        <x:v>0</x:v>
      </x:c>
      <x:c r="P97" s="462"/>
      <x:c r="Q97" s="463">
        <x:f t="shared" si="405"/>
        <x:v>0</x:v>
      </x:c>
      <x:c r="R97" s="162" t="str">
        <x:f t="shared" si="406"/>
        <x:v>X</x:v>
      </x:c>
      <x:c r="S97" s="230"/>
      <x:c r="T97" s="225"/>
      <x:c r="U97" s="217"/>
      <x:c r="V97" s="203"/>
      <x:c r="W97" s="162" t="str">
        <x:f t="shared" si="407"/>
        <x:v/>
      </x:c>
      <x:c r="X97" s="217"/>
      <x:c r="Y97" s="45"/>
      <x:c r="Z97" s="508" t="str">
        <x:f t="shared" si="408"/>
        <x:v/>
      </x:c>
      <x:c r="AA97" s="508" t="str">
        <x:f t="shared" si="409"/>
        <x:v/>
      </x:c>
      <x:c r="AB97" s="374" t="str">
        <x:f t="shared" si="410"/>
        <x:v/>
      </x:c>
      <x:c r="AC97" s="46"/>
      <x:c r="AD97" s="508" t="str">
        <x:f t="shared" si="411"/>
        <x:v/>
      </x:c>
      <x:c r="AE97" s="508" t="str">
        <x:f t="shared" si="412"/>
        <x:v/>
      </x:c>
      <x:c r="AF97" s="374" t="str">
        <x:f t="shared" si="413"/>
        <x:v/>
      </x:c>
      <x:c r="AG97" s="46"/>
      <x:c r="AH97" s="374" t="str">
        <x:f>IF(AK97="","",IF($W97="도비","-",CONCATENATE(AK97,"-",COUNTIF(AK$7:$AK97,AK97))))</x:f>
        <x:v/>
      </x:c>
      <x:c r="AI97" s="374" t="str">
        <x:f t="shared" si="414"/>
        <x:v/>
      </x:c>
      <x:c r="AJ97" s="46"/>
      <x:c r="AK97" s="374" t="str">
        <x:f t="array" ref="AK97:AK97">IF(OR($D97="",$C97="직접입력",$B97="직접입력"),"",INDEX(구분표!$I$2:$I$337,MATCH(1,(구분표!$G$2:$G$337='5. 기입'!$B97)*(구분표!$E$2:$E$337='5. 기입'!$C97)*(구분표!$F$2:$F$337='5. 기입'!$D97),0)))</x:f>
        <x:v/>
      </x:c>
      <x:c r="AL97" s="47"/>
      <x:c r="AM97" s="472" t="str">
        <x:f>IF($AH97="","",IF($AH97="-",0,SUMIFS('5. 기출'!$AB$7:$AB$2012,'5. 기출'!$AJ$7:$AJ$2012,$AH97)))</x:f>
        <x:v/>
      </x:c>
      <x:c r="AN97" s="377" t="str">
        <x:f>IF($AH97="","",IF($AH97="-",0,COUNTIF('5. 기출'!$AJ$7:$AJ$2012,$AH97)))</x:f>
        <x:v/>
      </x:c>
      <x:c r="AO97" s="374" t="str">
        <x:f t="shared" si="415"/>
        <x:v/>
      </x:c>
      <x:c r="AP97" s="47"/>
      <x:c r="AQ97" s="472" t="str">
        <x:f>IF($AH97="","",IF($AH97="-",0,SUMIFS('5. 기출'!$AF$7:$AF$2012,'5. 기출'!$AJ$7:$AJ$2012,$AH97)))</x:f>
        <x:v/>
      </x:c>
      <x:c r="AR97" s="377" t="str">
        <x:f>IF($AH97="","",IF($AH97="-",0,COUNTIF('5. 기출'!$AJ$7:$AJ$2012,$AH97)))</x:f>
        <x:v/>
      </x:c>
      <x:c r="AS97" s="374" t="str">
        <x:f t="shared" si="416"/>
        <x:v/>
      </x:c>
    </x:row>
    <x:row r="98" spans="1:45" s="20" customFormat="1" ht="80.099999999999994" customHeight="1">
      <x:c r="A98" s="155" t="str">
        <x:f>IF(D98="","",COUNTA($C$7:C98)-COUNTBLANK($C$7:C98)+23)</x:f>
        <x:v/>
      </x:c>
      <x:c r="B98" s="156" t="str">
        <x: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x:f>
        <x:v/>
      </x:c>
      <x:c r="C98" s="156" t="str">
        <x:f>IF(D98="","",IF(OR(D98="교육지원과",D98="총무과",D98="인사과"),"직접입력",VLOOKUP(D98,구분표!$A$3:$C$258,3,)))</x:f>
        <x:v/>
      </x:c>
      <x:c r="D98" s="226"/>
      <x:c r="E98" s="213"/>
      <x:c r="F98" s="388" t="str">
        <x:f t="shared" si="417"/>
        <x:v/>
      </x:c>
      <x:c r="G98" s="388" t="str">
        <x:f t="shared" si="417"/>
        <x:v/>
      </x:c>
      <x:c r="H98" s="214"/>
      <x:c r="I98" s="237" t="str">
        <x:f>IF(H98="","",VLOOKUP($H98,구분표!$O$3:$P$168,2,FALSE))</x:f>
        <x:v/>
      </x:c>
      <x:c r="J98" s="215"/>
      <x:c r="K98" s="459" t="str">
        <x:f t="shared" si="418"/>
        <x:v/>
      </x:c>
      <x:c r="L98" s="459" t="str">
        <x:f t="shared" si="419"/>
        <x:v/>
      </x:c>
      <x:c r="M98" s="461" t="str">
        <x:f t="shared" si="403"/>
        <x:v/>
      </x:c>
      <x:c r="N98" s="460"/>
      <x:c r="O98" s="461">
        <x:f t="shared" si="404"/>
        <x:v>0</x:v>
      </x:c>
      <x:c r="P98" s="462"/>
      <x:c r="Q98" s="463">
        <x:f t="shared" si="405"/>
        <x:v>0</x:v>
      </x:c>
      <x:c r="R98" s="162" t="str">
        <x:f t="shared" si="406"/>
        <x:v>X</x:v>
      </x:c>
      <x:c r="S98" s="230"/>
      <x:c r="T98" s="225"/>
      <x:c r="U98" s="217"/>
      <x:c r="V98" s="203"/>
      <x:c r="W98" s="162" t="str">
        <x:f t="shared" si="407"/>
        <x:v/>
      </x:c>
      <x:c r="X98" s="217"/>
      <x:c r="Y98" s="45"/>
      <x:c r="Z98" s="508" t="str">
        <x:f t="shared" si="408"/>
        <x:v/>
      </x:c>
      <x:c r="AA98" s="508" t="str">
        <x:f t="shared" si="409"/>
        <x:v/>
      </x:c>
      <x:c r="AB98" s="374" t="str">
        <x:f t="shared" si="410"/>
        <x:v/>
      </x:c>
      <x:c r="AC98" s="46"/>
      <x:c r="AD98" s="508" t="str">
        <x:f t="shared" si="411"/>
        <x:v/>
      </x:c>
      <x:c r="AE98" s="508" t="str">
        <x:f t="shared" si="412"/>
        <x:v/>
      </x:c>
      <x:c r="AF98" s="374" t="str">
        <x:f t="shared" si="413"/>
        <x:v/>
      </x:c>
      <x:c r="AG98" s="46"/>
      <x:c r="AH98" s="374" t="str">
        <x:f>IF(AK98="","",IF($W98="도비","-",CONCATENATE(AK98,"-",COUNTIF(AK$7:$AK98,AK98))))</x:f>
        <x:v/>
      </x:c>
      <x:c r="AI98" s="374" t="str">
        <x:f t="shared" si="414"/>
        <x:v/>
      </x:c>
      <x:c r="AJ98" s="46"/>
      <x:c r="AK98" s="374" t="str">
        <x:f t="array" ref="AK98:AK98">IF(OR($D98="",$C98="직접입력",$B98="직접입력"),"",INDEX(구분표!$I$2:$I$337,MATCH(1,(구분표!$G$2:$G$337='5. 기입'!$B98)*(구분표!$E$2:$E$337='5. 기입'!$C98)*(구분표!$F$2:$F$337='5. 기입'!$D98),0)))</x:f>
        <x:v/>
      </x:c>
      <x:c r="AL98" s="47"/>
      <x:c r="AM98" s="472" t="str">
        <x:f>IF($AH98="","",IF($AH98="-",0,SUMIFS('5. 기출'!$AB$7:$AB$2012,'5. 기출'!$AJ$7:$AJ$2012,$AH98)))</x:f>
        <x:v/>
      </x:c>
      <x:c r="AN98" s="377" t="str">
        <x:f>IF($AH98="","",IF($AH98="-",0,COUNTIF('5. 기출'!$AJ$7:$AJ$2012,$AH98)))</x:f>
        <x:v/>
      </x:c>
      <x:c r="AO98" s="374" t="str">
        <x:f t="shared" si="415"/>
        <x:v/>
      </x:c>
      <x:c r="AP98" s="47"/>
      <x:c r="AQ98" s="472" t="str">
        <x:f>IF($AH98="","",IF($AH98="-",0,SUMIFS('5. 기출'!$AF$7:$AF$2012,'5. 기출'!$AJ$7:$AJ$2012,$AH98)))</x:f>
        <x:v/>
      </x:c>
      <x:c r="AR98" s="377" t="str">
        <x:f>IF($AH98="","",IF($AH98="-",0,COUNTIF('5. 기출'!$AJ$7:$AJ$2012,$AH98)))</x:f>
        <x:v/>
      </x:c>
      <x:c r="AS98" s="374" t="str">
        <x:f t="shared" si="416"/>
        <x:v/>
      </x:c>
    </x:row>
    <x:row r="99" spans="1:45" ht="60" customHeight="1">
      <x:c r="A99" s="171"/>
      <x:c r="B99" s="888" t="s">
        <x:v>873</x:v>
      </x:c>
      <x:c r="C99" s="888"/>
      <x:c r="D99" s="888"/>
      <x:c r="E99" s="888"/>
      <x:c r="F99" s="888"/>
      <x:c r="G99" s="888"/>
      <x:c r="H99" s="79"/>
      <x:c r="I99" s="79"/>
      <x:c r="J99" s="349" t="str">
        <x:f>SUBTOTAL(3,J100:J102)&amp;"건"</x:f>
        <x:v>0건</x:v>
      </x:c>
      <x:c r="K99" s="458">
        <x:f t="shared" ref="K99:Q99" si="420">SUBTOTAL(9,K100:K102)</x:f>
        <x:v>0</x:v>
      </x:c>
      <x:c r="L99" s="458">
        <x:f t="shared" si="420"/>
        <x:v>0</x:v>
      </x:c>
      <x:c r="M99" s="458">
        <x:f t="shared" si="420"/>
        <x:v>0</x:v>
      </x:c>
      <x:c r="N99" s="458">
        <x:f t="shared" si="420"/>
        <x:v>0</x:v>
      </x:c>
      <x:c r="O99" s="458">
        <x:f t="shared" si="420"/>
        <x:v>0</x:v>
      </x:c>
      <x:c r="P99" s="458">
        <x:f t="shared" si="420"/>
        <x:v>0</x:v>
      </x:c>
      <x:c r="Q99" s="458">
        <x:f t="shared" si="420"/>
        <x:v>0</x:v>
      </x:c>
      <x:c r="R99" s="78"/>
      <x:c r="S99" s="78"/>
      <x:c r="T99" s="78"/>
      <x:c r="U99" s="78"/>
      <x:c r="V99" s="78"/>
      <x:c r="W99" s="80"/>
      <x:c r="X99" s="80"/>
      <x:c r="Y99" s="43"/>
      <x:c r="Z99" s="458">
        <x:f>SUBTOTAL(9,Z100:Z102)</x:f>
        <x:v>0</x:v>
      </x:c>
      <x:c r="AA99" s="458">
        <x:f>SUBTOTAL(9,AA100:AA102)</x:f>
        <x:v>0</x:v>
      </x:c>
      <x:c r="AB99" s="556" t="str">
        <x:f>IF(COUNTIF(AB100:AB102,"@@")&gt;0,"@@","OK")</x:f>
        <x:v>OK</x:v>
      </x:c>
      <x:c r="AC99" s="44"/>
      <x:c r="AD99" s="458">
        <x:f>SUBTOTAL(9,AD100:AD102)</x:f>
        <x:v>0</x:v>
      </x:c>
      <x:c r="AE99" s="458">
        <x:f>SUBTOTAL(9,AE100:AE102)</x:f>
        <x:v>0</x:v>
      </x:c>
      <x:c r="AF99" s="556" t="str">
        <x:f>IF(COUNTIF(AF100:AF102,"@@")&gt;0,"@@","OK")</x:f>
        <x:v>OK</x:v>
      </x:c>
      <x:c r="AG99" s="44"/>
      <x:c r="AH99" s="171"/>
      <x:c r="AI99" s="171"/>
      <x:c r="AJ99" s="44"/>
      <x:c r="AK99" s="171"/>
      <x:c r="AL99" s="44"/>
      <x:c r="AM99" s="458">
        <x:f>SUBTOTAL(9,AM100:AM102)</x:f>
        <x:v>0</x:v>
      </x:c>
      <x:c r="AN99" s="458">
        <x:f>SUBTOTAL(9,AN100:AN102)</x:f>
        <x:v>0</x:v>
      </x:c>
      <x:c r="AO99" s="556" t="str">
        <x:f>IF(COUNTIF(AO100:AO102,"@@")&gt;0,"@@","OK")</x:f>
        <x:v>OK</x:v>
      </x:c>
      <x:c r="AP99" s="44"/>
      <x:c r="AQ99" s="458">
        <x:f>SUBTOTAL(9,AQ100:AQ102)</x:f>
        <x:v>0</x:v>
      </x:c>
      <x:c r="AR99" s="458">
        <x:f>SUBTOTAL(9,AR100:AR102)</x:f>
        <x:v>0</x:v>
      </x:c>
      <x:c r="AS99" s="556" t="str">
        <x:f>IF(COUNTIF(AS100:AS102,"@@")&gt;0,"@@","OK")</x:f>
        <x:v>OK</x:v>
      </x:c>
    </x:row>
    <x:row r="100" spans="1:45" s="20" customFormat="1" ht="80.099999999999994" customHeight="1">
      <x:c r="A100" s="155" t="str">
        <x:f>IF(D100="","",COUNTA($C$7:C100)-COUNTBLANK($C$7:C100)+24)</x:f>
        <x:v/>
      </x:c>
      <x:c r="B100" s="156" t="str">
        <x: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x:f>
        <x:v/>
      </x:c>
      <x:c r="C100" s="156" t="str">
        <x:f>IF(D100="","",IF(OR(D100="교육지원과",D100="총무과",D100="인사과"),"직접입력",VLOOKUP(D100,구분표!$A$3:$C$258,3,)))</x:f>
        <x:v/>
      </x:c>
      <x:c r="D100" s="226"/>
      <x:c r="E100" s="213"/>
      <x:c r="F100" s="388" t="str">
        <x:f>IF($E100="","",IF($E100="2추","직접입력","-"))</x:f>
        <x:v/>
      </x:c>
      <x:c r="G100" s="388" t="str">
        <x:f>IF($E100="","",IF($E100="2추","직접입력","-"))</x:f>
        <x:v/>
      </x:c>
      <x:c r="H100" s="214"/>
      <x:c r="I100" s="237" t="str">
        <x:f>IF(H100="","",VLOOKUP($H100,구분표!$O$3:$P$168,2,FALSE))</x:f>
        <x:v/>
      </x:c>
      <x:c r="J100" s="215"/>
      <x:c r="K100" s="459" t="str">
        <x:f>IF($E100="","",IF(OR($E100="2추",$E100="1추",$E100="본예산"),"금액입력","-"))</x:f>
        <x:v/>
      </x:c>
      <x:c r="L100" s="459" t="str">
        <x:f>IF($E100="","",IF($E100="2추","금액입력","-"))</x:f>
        <x:v/>
      </x:c>
      <x:c r="M100" s="461" t="str">
        <x:f t="shared" ref="M100:M102" si="421">IF($E100="","",SUM(K100:L100))</x:f>
        <x:v/>
      </x:c>
      <x:c r="N100" s="460"/>
      <x:c r="O100" s="461">
        <x:f t="shared" ref="O100:O102" si="422">SUM(M100:N100)</x:f>
        <x:v>0</x:v>
      </x:c>
      <x:c r="P100" s="462"/>
      <x:c r="Q100" s="463">
        <x:f t="shared" ref="Q100:Q102" si="423">SUM(M100,P100)</x:f>
        <x:v>0</x:v>
      </x:c>
      <x:c r="R100" s="162" t="str">
        <x:f t="shared" ref="R100:R102" si="424">IF(AND((O100=0),(Q100&gt;0)),"O",IF(AND((N100&lt;0),(O100-Q100&lt;0)),"O","X"))</x:f>
        <x:v>X</x:v>
      </x:c>
      <x:c r="S100" s="230"/>
      <x:c r="T100" s="225"/>
      <x:c r="U100" s="217"/>
      <x:c r="V100" s="203"/>
      <x:c r="W100" s="162" t="str">
        <x:f t="shared" ref="W100:W102" si="425">IF($H100="","",IF(OR($H100="511-01",$H100="511-02",$H100="511-03",$H100="311-02",$H100="311-04",$H100="321-01"),"국도비","도비"))</x:f>
        <x:v/>
      </x:c>
      <x:c r="X100" s="217"/>
      <x:c r="Y100" s="45"/>
      <x:c r="Z100" s="508" t="str">
        <x:f t="shared" ref="Z100:Z102" si="426">IF($W100="","",IF($W100="국도비",$N100,0))</x:f>
        <x:v/>
      </x:c>
      <x:c r="AA100" s="508" t="str">
        <x:f t="shared" ref="AA100:AA102" si="427">IF($W100="","",IF($W100="도비",$N100,0))</x:f>
        <x:v/>
      </x:c>
      <x:c r="AB100" s="374" t="str">
        <x:f t="shared" ref="AB100:AB102" si="428">IF($W100="","",IF($N100=SUM($Z100:$AA100),"OK","@@"))</x:f>
        <x:v/>
      </x:c>
      <x:c r="AC100" s="46"/>
      <x:c r="AD100" s="508" t="str">
        <x:f t="shared" ref="AD100:AD102" si="429">IF($W100="","",IF($W100="국도비",$P100,0))</x:f>
        <x:v/>
      </x:c>
      <x:c r="AE100" s="508" t="str">
        <x:f t="shared" ref="AE100:AE102" si="430">IF($W100="","",IF($W100="도비",$P100,0))</x:f>
        <x:v/>
      </x:c>
      <x:c r="AF100" s="374" t="str">
        <x:f t="shared" ref="AF100:AF102" si="431">IF($W100="","",IF($P100=SUM($AD100:$AE100),"OK","@@"))</x:f>
        <x:v/>
      </x:c>
      <x:c r="AG100" s="46"/>
      <x:c r="AH100" s="374" t="str">
        <x:f>IF(AK100="","",IF($W100="도비","-",CONCATENATE(AK100,"-",COUNTIF(AK$7:$AK100,AK100))))</x:f>
        <x:v/>
      </x:c>
      <x:c r="AI100" s="374" t="str">
        <x:f t="shared" ref="AI100:AI102" si="432">IF($H100="","",IF($H100="511-01","국비",IF($H100="511-02","균특",IF($H100="511-03","기금",IF($H100="311-02","특교",IF($H100="311-04","소교",IF($H100="321-01","소멸","도비")))))))</x:f>
        <x:v/>
      </x:c>
      <x:c r="AJ100" s="46"/>
      <x:c r="AK100" s="374" t="str">
        <x:f t="array" ref="AK100:AK100">IF(OR($D100="",$C100="직접입력",$B100="직접입력"),"",INDEX(구분표!$I$2:$I$337,MATCH(1,(구분표!$G$2:$G$337='5. 기입'!$B100)*(구분표!$E$2:$E$337='5. 기입'!$C100)*(구분표!$F$2:$F$337='5. 기입'!$D100),0)))</x:f>
        <x:v/>
      </x:c>
      <x:c r="AL100" s="47"/>
      <x:c r="AM100" s="472" t="str">
        <x:f>IF($AH100="","",IF($AH100="-",0,SUMIFS('5. 기출'!$AB$7:$AB$2012,'5. 기출'!$AJ$7:$AJ$2012,$AH100)))</x:f>
        <x:v/>
      </x:c>
      <x:c r="AN100" s="377" t="str">
        <x:f>IF($AH100="","",IF($AH100="-",0,COUNTIF('5. 기출'!$AJ$7:$AJ$2012,$AH100)))</x:f>
        <x:v/>
      </x:c>
      <x:c r="AO100" s="374" t="str">
        <x:f t="shared" ref="AO100:AO102" si="433">IF($AH100="","",IF($Z100=$AM100,"OK","@@"))</x:f>
        <x:v/>
      </x:c>
      <x:c r="AP100" s="47"/>
      <x:c r="AQ100" s="472" t="str">
        <x:f>IF($AH100="","",IF($AH100="-",0,SUMIFS('5. 기출'!$AF$7:$AF$2012,'5. 기출'!$AJ$7:$AJ$2012,$AH100)))</x:f>
        <x:v/>
      </x:c>
      <x:c r="AR100" s="377" t="str">
        <x:f>IF($AH100="","",IF($AH100="-",0,COUNTIF('5. 기출'!$AJ$7:$AJ$2012,$AH100)))</x:f>
        <x:v/>
      </x:c>
      <x:c r="AS100" s="374" t="str">
        <x:f t="shared" ref="AS100:AS102" si="434">IF($AH100="","",IF($AD100=$AQ100,"OK","@@"))</x:f>
        <x:v/>
      </x:c>
    </x:row>
    <x:row r="101" spans="1:45" s="20" customFormat="1" ht="80.099999999999994" customHeight="1">
      <x:c r="A101" s="155" t="str">
        <x:f>IF(D101="","",COUNTA($C$7:C101)-COUNTBLANK($C$7:C101)+24)</x:f>
        <x:v/>
      </x:c>
      <x:c r="B101" s="156" t="str">
        <x: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x:f>
        <x:v/>
      </x:c>
      <x:c r="C101" s="156" t="str">
        <x:f>IF(D101="","",IF(OR(D101="교육지원과",D101="총무과",D101="인사과"),"직접입력",VLOOKUP(D101,구분표!$A$3:$C$258,3,)))</x:f>
        <x:v/>
      </x:c>
      <x:c r="D101" s="226"/>
      <x:c r="E101" s="213"/>
      <x:c r="F101" s="388" t="str">
        <x:f t="shared" ref="F101:G102" si="435">IF($E101="","",IF($E101="2추","직접입력","-"))</x:f>
        <x:v/>
      </x:c>
      <x:c r="G101" s="388" t="str">
        <x:f t="shared" si="435"/>
        <x:v/>
      </x:c>
      <x:c r="H101" s="214"/>
      <x:c r="I101" s="237" t="str">
        <x:f>IF(H101="","",VLOOKUP($H101,구분표!$O$3:$P$168,2,FALSE))</x:f>
        <x:v/>
      </x:c>
      <x:c r="J101" s="215"/>
      <x:c r="K101" s="459" t="str">
        <x:f t="shared" ref="K101:K102" si="436">IF($E101="","",IF(OR($E101="2추",$E101="1추",$E101="본예산"),"금액입력","-"))</x:f>
        <x:v/>
      </x:c>
      <x:c r="L101" s="459" t="str">
        <x:f t="shared" ref="L101:L102" si="437">IF($E101="","",IF($E101="2추","금액입력","-"))</x:f>
        <x:v/>
      </x:c>
      <x:c r="M101" s="461" t="str">
        <x:f t="shared" si="421"/>
        <x:v/>
      </x:c>
      <x:c r="N101" s="460"/>
      <x:c r="O101" s="461">
        <x:f t="shared" si="422"/>
        <x:v>0</x:v>
      </x:c>
      <x:c r="P101" s="462"/>
      <x:c r="Q101" s="463">
        <x:f t="shared" si="423"/>
        <x:v>0</x:v>
      </x:c>
      <x:c r="R101" s="162" t="str">
        <x:f t="shared" si="424"/>
        <x:v>X</x:v>
      </x:c>
      <x:c r="S101" s="230"/>
      <x:c r="T101" s="225"/>
      <x:c r="U101" s="217"/>
      <x:c r="V101" s="203"/>
      <x:c r="W101" s="162" t="str">
        <x:f t="shared" si="425"/>
        <x:v/>
      </x:c>
      <x:c r="X101" s="217"/>
      <x:c r="Y101" s="45"/>
      <x:c r="Z101" s="508" t="str">
        <x:f t="shared" si="426"/>
        <x:v/>
      </x:c>
      <x:c r="AA101" s="508" t="str">
        <x:f t="shared" si="427"/>
        <x:v/>
      </x:c>
      <x:c r="AB101" s="374" t="str">
        <x:f t="shared" si="428"/>
        <x:v/>
      </x:c>
      <x:c r="AC101" s="46"/>
      <x:c r="AD101" s="508" t="str">
        <x:f t="shared" si="429"/>
        <x:v/>
      </x:c>
      <x:c r="AE101" s="508" t="str">
        <x:f t="shared" si="430"/>
        <x:v/>
      </x:c>
      <x:c r="AF101" s="374" t="str">
        <x:f t="shared" si="431"/>
        <x:v/>
      </x:c>
      <x:c r="AG101" s="46"/>
      <x:c r="AH101" s="374" t="str">
        <x:f>IF(AK101="","",IF($W101="도비","-",CONCATENATE(AK101,"-",COUNTIF(AK$7:$AK101,AK101))))</x:f>
        <x:v/>
      </x:c>
      <x:c r="AI101" s="374" t="str">
        <x:f t="shared" si="432"/>
        <x:v/>
      </x:c>
      <x:c r="AJ101" s="46"/>
      <x:c r="AK101" s="374" t="str">
        <x:f t="array" ref="AK101:AK101">IF(OR($D101="",$C101="직접입력",$B101="직접입력"),"",INDEX(구분표!$I$2:$I$337,MATCH(1,(구분표!$G$2:$G$337='5. 기입'!$B101)*(구분표!$E$2:$E$337='5. 기입'!$C101)*(구분표!$F$2:$F$337='5. 기입'!$D101),0)))</x:f>
        <x:v/>
      </x:c>
      <x:c r="AL101" s="47"/>
      <x:c r="AM101" s="472" t="str">
        <x:f>IF($AH101="","",IF($AH101="-",0,SUMIFS('5. 기출'!$AB$7:$AB$2012,'5. 기출'!$AJ$7:$AJ$2012,$AH101)))</x:f>
        <x:v/>
      </x:c>
      <x:c r="AN101" s="377" t="str">
        <x:f>IF($AH101="","",IF($AH101="-",0,COUNTIF('5. 기출'!$AJ$7:$AJ$2012,$AH101)))</x:f>
        <x:v/>
      </x:c>
      <x:c r="AO101" s="374" t="str">
        <x:f t="shared" si="433"/>
        <x:v/>
      </x:c>
      <x:c r="AP101" s="47"/>
      <x:c r="AQ101" s="472" t="str">
        <x:f>IF($AH101="","",IF($AH101="-",0,SUMIFS('5. 기출'!$AF$7:$AF$2012,'5. 기출'!$AJ$7:$AJ$2012,$AH101)))</x:f>
        <x:v/>
      </x:c>
      <x:c r="AR101" s="377" t="str">
        <x:f>IF($AH101="","",IF($AH101="-",0,COUNTIF('5. 기출'!$AJ$7:$AJ$2012,$AH101)))</x:f>
        <x:v/>
      </x:c>
      <x:c r="AS101" s="374" t="str">
        <x:f t="shared" si="434"/>
        <x:v/>
      </x:c>
    </x:row>
    <x:row r="102" spans="1:45" s="20" customFormat="1" ht="80.099999999999994" customHeight="1">
      <x:c r="A102" s="155" t="str">
        <x:f>IF(D102="","",COUNTA($C$7:C102)-COUNTBLANK($C$7:C102)+24)</x:f>
        <x:v/>
      </x:c>
      <x:c r="B102" s="156" t="str">
        <x: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x:f>
        <x:v/>
      </x:c>
      <x:c r="C102" s="156" t="str">
        <x:f>IF(D102="","",IF(OR(D102="교육지원과",D102="총무과",D102="인사과"),"직접입력",VLOOKUP(D102,구분표!$A$3:$C$258,3,)))</x:f>
        <x:v/>
      </x:c>
      <x:c r="D102" s="226"/>
      <x:c r="E102" s="213"/>
      <x:c r="F102" s="388" t="str">
        <x:f t="shared" si="435"/>
        <x:v/>
      </x:c>
      <x:c r="G102" s="388" t="str">
        <x:f t="shared" si="435"/>
        <x:v/>
      </x:c>
      <x:c r="H102" s="214"/>
      <x:c r="I102" s="237" t="str">
        <x:f>IF(H102="","",VLOOKUP($H102,구분표!$O$3:$P$168,2,FALSE))</x:f>
        <x:v/>
      </x:c>
      <x:c r="J102" s="215"/>
      <x:c r="K102" s="459" t="str">
        <x:f t="shared" si="436"/>
        <x:v/>
      </x:c>
      <x:c r="L102" s="459" t="str">
        <x:f t="shared" si="437"/>
        <x:v/>
      </x:c>
      <x:c r="M102" s="461" t="str">
        <x:f t="shared" si="421"/>
        <x:v/>
      </x:c>
      <x:c r="N102" s="460"/>
      <x:c r="O102" s="461">
        <x:f t="shared" si="422"/>
        <x:v>0</x:v>
      </x:c>
      <x:c r="P102" s="462"/>
      <x:c r="Q102" s="463">
        <x:f t="shared" si="423"/>
        <x:v>0</x:v>
      </x:c>
      <x:c r="R102" s="162" t="str">
        <x:f t="shared" si="424"/>
        <x:v>X</x:v>
      </x:c>
      <x:c r="S102" s="230"/>
      <x:c r="T102" s="225"/>
      <x:c r="U102" s="217"/>
      <x:c r="V102" s="203"/>
      <x:c r="W102" s="162" t="str">
        <x:f t="shared" si="425"/>
        <x:v/>
      </x:c>
      <x:c r="X102" s="217"/>
      <x:c r="Y102" s="45"/>
      <x:c r="Z102" s="508" t="str">
        <x:f t="shared" si="426"/>
        <x:v/>
      </x:c>
      <x:c r="AA102" s="508" t="str">
        <x:f t="shared" si="427"/>
        <x:v/>
      </x:c>
      <x:c r="AB102" s="374" t="str">
        <x:f t="shared" si="428"/>
        <x:v/>
      </x:c>
      <x:c r="AC102" s="46"/>
      <x:c r="AD102" s="508" t="str">
        <x:f t="shared" si="429"/>
        <x:v/>
      </x:c>
      <x:c r="AE102" s="508" t="str">
        <x:f t="shared" si="430"/>
        <x:v/>
      </x:c>
      <x:c r="AF102" s="374" t="str">
        <x:f t="shared" si="431"/>
        <x:v/>
      </x:c>
      <x:c r="AG102" s="46"/>
      <x:c r="AH102" s="374" t="str">
        <x:f>IF(AK102="","",IF($W102="도비","-",CONCATENATE(AK102,"-",COUNTIF(AK$7:$AK102,AK102))))</x:f>
        <x:v/>
      </x:c>
      <x:c r="AI102" s="374" t="str">
        <x:f t="shared" si="432"/>
        <x:v/>
      </x:c>
      <x:c r="AJ102" s="46"/>
      <x:c r="AK102" s="374" t="str">
        <x:f t="array" ref="AK102:AK102">IF(OR($D102="",$C102="직접입력",$B102="직접입력"),"",INDEX(구분표!$I$2:$I$337,MATCH(1,(구분표!$G$2:$G$337='5. 기입'!$B102)*(구분표!$E$2:$E$337='5. 기입'!$C102)*(구분표!$F$2:$F$337='5. 기입'!$D102),0)))</x:f>
        <x:v/>
      </x:c>
      <x:c r="AL102" s="47"/>
      <x:c r="AM102" s="472" t="str">
        <x:f>IF($AH102="","",IF($AH102="-",0,SUMIFS('5. 기출'!$AB$7:$AB$2012,'5. 기출'!$AJ$7:$AJ$2012,$AH102)))</x:f>
        <x:v/>
      </x:c>
      <x:c r="AN102" s="377" t="str">
        <x:f>IF($AH102="","",IF($AH102="-",0,COUNTIF('5. 기출'!$AJ$7:$AJ$2012,$AH102)))</x:f>
        <x:v/>
      </x:c>
      <x:c r="AO102" s="374" t="str">
        <x:f t="shared" si="433"/>
        <x:v/>
      </x:c>
      <x:c r="AP102" s="47"/>
      <x:c r="AQ102" s="472" t="str">
        <x:f>IF($AH102="","",IF($AH102="-",0,SUMIFS('5. 기출'!$AF$7:$AF$2012,'5. 기출'!$AJ$7:$AJ$2012,$AH102)))</x:f>
        <x:v/>
      </x:c>
      <x:c r="AR102" s="377" t="str">
        <x:f>IF($AH102="","",IF($AH102="-",0,COUNTIF('5. 기출'!$AJ$7:$AJ$2012,$AH102)))</x:f>
        <x:v/>
      </x:c>
      <x:c r="AS102" s="374" t="str">
        <x:f t="shared" si="434"/>
        <x:v/>
      </x:c>
    </x:row>
    <x:row r="103" spans="1:45" ht="60" customHeight="1">
      <x:c r="A103" s="171"/>
      <x:c r="B103" s="888" t="s">
        <x:v>875</x:v>
      </x:c>
      <x:c r="C103" s="888"/>
      <x:c r="D103" s="888"/>
      <x:c r="E103" s="888"/>
      <x:c r="F103" s="888"/>
      <x:c r="G103" s="888"/>
      <x:c r="H103" s="79"/>
      <x:c r="I103" s="79"/>
      <x:c r="J103" s="349" t="str">
        <x:f>SUBTOTAL(3,J104:J106)&amp;"건"</x:f>
        <x:v>0건</x:v>
      </x:c>
      <x:c r="K103" s="458">
        <x:f t="shared" ref="K103:Q103" si="438">SUBTOTAL(9,K104:K106)</x:f>
        <x:v>0</x:v>
      </x:c>
      <x:c r="L103" s="458">
        <x:f t="shared" si="438"/>
        <x:v>0</x:v>
      </x:c>
      <x:c r="M103" s="458">
        <x:f t="shared" si="438"/>
        <x:v>0</x:v>
      </x:c>
      <x:c r="N103" s="458">
        <x:f t="shared" si="438"/>
        <x:v>0</x:v>
      </x:c>
      <x:c r="O103" s="458">
        <x:f t="shared" si="438"/>
        <x:v>0</x:v>
      </x:c>
      <x:c r="P103" s="458">
        <x:f t="shared" si="438"/>
        <x:v>0</x:v>
      </x:c>
      <x:c r="Q103" s="458">
        <x:f t="shared" si="438"/>
        <x:v>0</x:v>
      </x:c>
      <x:c r="R103" s="78"/>
      <x:c r="S103" s="78"/>
      <x:c r="T103" s="78"/>
      <x:c r="U103" s="78"/>
      <x:c r="V103" s="78"/>
      <x:c r="W103" s="80"/>
      <x:c r="X103" s="80"/>
      <x:c r="Y103" s="43"/>
      <x:c r="Z103" s="458">
        <x:f>SUBTOTAL(9,Z104:Z106)</x:f>
        <x:v>0</x:v>
      </x:c>
      <x:c r="AA103" s="458">
        <x:f>SUBTOTAL(9,AA104:AA106)</x:f>
        <x:v>0</x:v>
      </x:c>
      <x:c r="AB103" s="556" t="str">
        <x:f>IF(COUNTIF(AB104:AB106,"@@")&gt;0,"@@","OK")</x:f>
        <x:v>OK</x:v>
      </x:c>
      <x:c r="AC103" s="44"/>
      <x:c r="AD103" s="458">
        <x:f>SUBTOTAL(9,AD104:AD106)</x:f>
        <x:v>0</x:v>
      </x:c>
      <x:c r="AE103" s="458">
        <x:f>SUBTOTAL(9,AE104:AE106)</x:f>
        <x:v>0</x:v>
      </x:c>
      <x:c r="AF103" s="556" t="str">
        <x:f>IF(COUNTIF(AF104:AF106,"@@")&gt;0,"@@","OK")</x:f>
        <x:v>OK</x:v>
      </x:c>
      <x:c r="AG103" s="44"/>
      <x:c r="AH103" s="171"/>
      <x:c r="AI103" s="171"/>
      <x:c r="AJ103" s="44"/>
      <x:c r="AK103" s="171"/>
      <x:c r="AL103" s="44"/>
      <x:c r="AM103" s="458">
        <x:f>SUBTOTAL(9,AM104:AM106)</x:f>
        <x:v>0</x:v>
      </x:c>
      <x:c r="AN103" s="458">
        <x:f>SUBTOTAL(9,AN104:AN106)</x:f>
        <x:v>0</x:v>
      </x:c>
      <x:c r="AO103" s="556" t="str">
        <x:f>IF(COUNTIF(AO104:AO106,"@@")&gt;0,"@@","OK")</x:f>
        <x:v>OK</x:v>
      </x:c>
      <x:c r="AP103" s="44"/>
      <x:c r="AQ103" s="458">
        <x:f>SUBTOTAL(9,AQ104:AQ106)</x:f>
        <x:v>0</x:v>
      </x:c>
      <x:c r="AR103" s="458">
        <x:f>SUBTOTAL(9,AR104:AR106)</x:f>
        <x:v>0</x:v>
      </x:c>
      <x:c r="AS103" s="556" t="str">
        <x:f>IF(COUNTIF(AS104:AS106,"@@")&gt;0,"@@","OK")</x:f>
        <x:v>OK</x:v>
      </x:c>
    </x:row>
    <x:row r="104" spans="1:45" s="20" customFormat="1" ht="80.099999999999994" customHeight="1">
      <x:c r="A104" s="155" t="str">
        <x:f>IF(D104="","",COUNTA($C$7:C104)-COUNTBLANK($C$7:C104)+25)</x:f>
        <x:v/>
      </x:c>
      <x:c r="B104" s="156" t="str">
        <x: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x:f>
        <x:v/>
      </x:c>
      <x:c r="C104" s="156" t="str">
        <x:f>IF(D104="","",IF(OR(D104="교육지원과",D104="총무과",D104="인사과"),"직접입력",VLOOKUP(D104,구분표!$A$3:$C$258,3,)))</x:f>
        <x:v/>
      </x:c>
      <x:c r="D104" s="226"/>
      <x:c r="E104" s="213"/>
      <x:c r="F104" s="388" t="str">
        <x:f>IF($E104="","",IF($E104="2추","직접입력","-"))</x:f>
        <x:v/>
      </x:c>
      <x:c r="G104" s="388" t="str">
        <x:f>IF($E104="","",IF($E104="2추","직접입력","-"))</x:f>
        <x:v/>
      </x:c>
      <x:c r="H104" s="214"/>
      <x:c r="I104" s="237" t="str">
        <x:f>IF(H104="","",VLOOKUP($H104,구분표!$O$3:$P$168,2,FALSE))</x:f>
        <x:v/>
      </x:c>
      <x:c r="J104" s="215"/>
      <x:c r="K104" s="459" t="str">
        <x:f>IF($E104="","",IF(OR($E104="2추",$E104="1추",$E104="본예산"),"금액입력","-"))</x:f>
        <x:v/>
      </x:c>
      <x:c r="L104" s="459" t="str">
        <x:f>IF($E104="","",IF($E104="2추","금액입력","-"))</x:f>
        <x:v/>
      </x:c>
      <x:c r="M104" s="461" t="str">
        <x:f t="shared" ref="M104:M106" si="439">IF($E104="","",SUM(K104:L104))</x:f>
        <x:v/>
      </x:c>
      <x:c r="N104" s="460"/>
      <x:c r="O104" s="461">
        <x:f t="shared" ref="O104:O106" si="440">SUM(M104:N104)</x:f>
        <x:v>0</x:v>
      </x:c>
      <x:c r="P104" s="462"/>
      <x:c r="Q104" s="463">
        <x:f t="shared" ref="Q104:Q106" si="441">SUM(M104,P104)</x:f>
        <x:v>0</x:v>
      </x:c>
      <x:c r="R104" s="162" t="str">
        <x:f t="shared" ref="R104:R106" si="442">IF(AND((O104=0),(Q104&gt;0)),"O",IF(AND((N104&lt;0),(O104-Q104&lt;0)),"O","X"))</x:f>
        <x:v>X</x:v>
      </x:c>
      <x:c r="S104" s="230"/>
      <x:c r="T104" s="225"/>
      <x:c r="U104" s="217"/>
      <x:c r="V104" s="203"/>
      <x:c r="W104" s="162" t="str">
        <x:f t="shared" ref="W104:W106" si="443">IF($H104="","",IF(OR($H104="511-01",$H104="511-02",$H104="511-03",$H104="311-02",$H104="311-04",$H104="321-01"),"국도비","도비"))</x:f>
        <x:v/>
      </x:c>
      <x:c r="X104" s="217"/>
      <x:c r="Y104" s="45"/>
      <x:c r="Z104" s="508" t="str">
        <x:f t="shared" ref="Z104:Z106" si="444">IF($W104="","",IF($W104="국도비",$N104,0))</x:f>
        <x:v/>
      </x:c>
      <x:c r="AA104" s="508" t="str">
        <x:f t="shared" ref="AA104:AA106" si="445">IF($W104="","",IF($W104="도비",$N104,0))</x:f>
        <x:v/>
      </x:c>
      <x:c r="AB104" s="374" t="str">
        <x:f t="shared" ref="AB104:AB106" si="446">IF($W104="","",IF($N104=SUM($Z104:$AA104),"OK","@@"))</x:f>
        <x:v/>
      </x:c>
      <x:c r="AC104" s="46"/>
      <x:c r="AD104" s="508" t="str">
        <x:f t="shared" ref="AD104:AD106" si="447">IF($W104="","",IF($W104="국도비",$P104,0))</x:f>
        <x:v/>
      </x:c>
      <x:c r="AE104" s="508" t="str">
        <x:f t="shared" ref="AE104:AE106" si="448">IF($W104="","",IF($W104="도비",$P104,0))</x:f>
        <x:v/>
      </x:c>
      <x:c r="AF104" s="374" t="str">
        <x:f t="shared" ref="AF104:AF106" si="449">IF($W104="","",IF($P104=SUM($AD104:$AE104),"OK","@@"))</x:f>
        <x:v/>
      </x:c>
      <x:c r="AG104" s="46"/>
      <x:c r="AH104" s="374" t="str">
        <x:f>IF(AK104="","",IF($W104="도비","-",CONCATENATE(AK104,"-",COUNTIF(AK$7:$AK104,AK104))))</x:f>
        <x:v/>
      </x:c>
      <x:c r="AI104" s="374" t="str">
        <x:f t="shared" ref="AI104:AI106" si="450">IF($H104="","",IF($H104="511-01","국비",IF($H104="511-02","균특",IF($H104="511-03","기금",IF($H104="311-02","특교",IF($H104="311-04","소교",IF($H104="321-01","소멸","도비")))))))</x:f>
        <x:v/>
      </x:c>
      <x:c r="AJ104" s="46"/>
      <x:c r="AK104" s="374" t="str">
        <x:f t="array" ref="AK104:AK104">IF(OR($D104="",$C104="직접입력",$B104="직접입력"),"",INDEX(구분표!$I$2:$I$337,MATCH(1,(구분표!$G$2:$G$337='5. 기입'!$B104)*(구분표!$E$2:$E$337='5. 기입'!$C104)*(구분표!$F$2:$F$337='5. 기입'!$D104),0)))</x:f>
        <x:v/>
      </x:c>
      <x:c r="AL104" s="47"/>
      <x:c r="AM104" s="472" t="str">
        <x:f>IF($AH104="","",IF($AH104="-",0,SUMIFS('5. 기출'!$AB$7:$AB$2012,'5. 기출'!$AJ$7:$AJ$2012,$AH104)))</x:f>
        <x:v/>
      </x:c>
      <x:c r="AN104" s="377" t="str">
        <x:f>IF($AH104="","",IF($AH104="-",0,COUNTIF('5. 기출'!$AJ$7:$AJ$2012,$AH104)))</x:f>
        <x:v/>
      </x:c>
      <x:c r="AO104" s="374" t="str">
        <x:f t="shared" ref="AO104:AO106" si="451">IF($AH104="","",IF($Z104=$AM104,"OK","@@"))</x:f>
        <x:v/>
      </x:c>
      <x:c r="AP104" s="47"/>
      <x:c r="AQ104" s="472" t="str">
        <x:f>IF($AH104="","",IF($AH104="-",0,SUMIFS('5. 기출'!$AF$7:$AF$2012,'5. 기출'!$AJ$7:$AJ$2012,$AH104)))</x:f>
        <x:v/>
      </x:c>
      <x:c r="AR104" s="377" t="str">
        <x:f>IF($AH104="","",IF($AH104="-",0,COUNTIF('5. 기출'!$AJ$7:$AJ$2012,$AH104)))</x:f>
        <x:v/>
      </x:c>
      <x:c r="AS104" s="374" t="str">
        <x:f t="shared" ref="AS104:AS106" si="452">IF($AH104="","",IF($AD104=$AQ104,"OK","@@"))</x:f>
        <x:v/>
      </x:c>
    </x:row>
    <x:row r="105" spans="1:45" s="20" customFormat="1" ht="80.099999999999994" customHeight="1">
      <x:c r="A105" s="155" t="str">
        <x:f>IF(D105="","",COUNTA($C$7:C105)-COUNTBLANK($C$7:C105)+25)</x:f>
        <x:v/>
      </x:c>
      <x:c r="B105" s="156" t="str">
        <x: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x:f>
        <x:v/>
      </x:c>
      <x:c r="C105" s="156" t="str">
        <x:f>IF(D105="","",IF(OR(D105="교육지원과",D105="총무과",D105="인사과"),"직접입력",VLOOKUP(D105,구분표!$A$3:$C$258,3,)))</x:f>
        <x:v/>
      </x:c>
      <x:c r="D105" s="226"/>
      <x:c r="E105" s="213"/>
      <x:c r="F105" s="388" t="str">
        <x:f t="shared" ref="F105:G106" si="453">IF($E105="","",IF($E105="2추","직접입력","-"))</x:f>
        <x:v/>
      </x:c>
      <x:c r="G105" s="388" t="str">
        <x:f t="shared" si="453"/>
        <x:v/>
      </x:c>
      <x:c r="H105" s="214"/>
      <x:c r="I105" s="237" t="str">
        <x:f>IF(H105="","",VLOOKUP($H105,구분표!$O$3:$P$168,2,FALSE))</x:f>
        <x:v/>
      </x:c>
      <x:c r="J105" s="215"/>
      <x:c r="K105" s="459" t="str">
        <x:f t="shared" ref="K105:K106" si="454">IF($E105="","",IF(OR($E105="2추",$E105="1추",$E105="본예산"),"금액입력","-"))</x:f>
        <x:v/>
      </x:c>
      <x:c r="L105" s="459" t="str">
        <x:f t="shared" ref="L105:L106" si="455">IF($E105="","",IF($E105="2추","금액입력","-"))</x:f>
        <x:v/>
      </x:c>
      <x:c r="M105" s="461" t="str">
        <x:f t="shared" si="439"/>
        <x:v/>
      </x:c>
      <x:c r="N105" s="460"/>
      <x:c r="O105" s="461">
        <x:f t="shared" si="440"/>
        <x:v>0</x:v>
      </x:c>
      <x:c r="P105" s="462"/>
      <x:c r="Q105" s="463">
        <x:f t="shared" si="441"/>
        <x:v>0</x:v>
      </x:c>
      <x:c r="R105" s="162" t="str">
        <x:f t="shared" si="442"/>
        <x:v>X</x:v>
      </x:c>
      <x:c r="S105" s="230"/>
      <x:c r="T105" s="225"/>
      <x:c r="U105" s="217"/>
      <x:c r="V105" s="203"/>
      <x:c r="W105" s="162" t="str">
        <x:f t="shared" si="443"/>
        <x:v/>
      </x:c>
      <x:c r="X105" s="217"/>
      <x:c r="Y105" s="45"/>
      <x:c r="Z105" s="508" t="str">
        <x:f t="shared" si="444"/>
        <x:v/>
      </x:c>
      <x:c r="AA105" s="508" t="str">
        <x:f t="shared" si="445"/>
        <x:v/>
      </x:c>
      <x:c r="AB105" s="374" t="str">
        <x:f t="shared" si="446"/>
        <x:v/>
      </x:c>
      <x:c r="AC105" s="46"/>
      <x:c r="AD105" s="508" t="str">
        <x:f t="shared" si="447"/>
        <x:v/>
      </x:c>
      <x:c r="AE105" s="508" t="str">
        <x:f t="shared" si="448"/>
        <x:v/>
      </x:c>
      <x:c r="AF105" s="374" t="str">
        <x:f t="shared" si="449"/>
        <x:v/>
      </x:c>
      <x:c r="AG105" s="46"/>
      <x:c r="AH105" s="374" t="str">
        <x:f>IF(AK105="","",IF($W105="도비","-",CONCATENATE(AK105,"-",COUNTIF(AK$7:$AK105,AK105))))</x:f>
        <x:v/>
      </x:c>
      <x:c r="AI105" s="374" t="str">
        <x:f t="shared" si="450"/>
        <x:v/>
      </x:c>
      <x:c r="AJ105" s="46"/>
      <x:c r="AK105" s="374" t="str">
        <x:f t="array" ref="AK105:AK105">IF(OR($D105="",$C105="직접입력",$B105="직접입력"),"",INDEX(구분표!$I$2:$I$337,MATCH(1,(구분표!$G$2:$G$337='5. 기입'!$B105)*(구분표!$E$2:$E$337='5. 기입'!$C105)*(구분표!$F$2:$F$337='5. 기입'!$D105),0)))</x:f>
        <x:v/>
      </x:c>
      <x:c r="AL105" s="47"/>
      <x:c r="AM105" s="472" t="str">
        <x:f>IF($AH105="","",IF($AH105="-",0,SUMIFS('5. 기출'!$AB$7:$AB$2012,'5. 기출'!$AJ$7:$AJ$2012,$AH105)))</x:f>
        <x:v/>
      </x:c>
      <x:c r="AN105" s="377" t="str">
        <x:f>IF($AH105="","",IF($AH105="-",0,COUNTIF('5. 기출'!$AJ$7:$AJ$2012,$AH105)))</x:f>
        <x:v/>
      </x:c>
      <x:c r="AO105" s="374" t="str">
        <x:f t="shared" si="451"/>
        <x:v/>
      </x:c>
      <x:c r="AP105" s="47"/>
      <x:c r="AQ105" s="472" t="str">
        <x:f>IF($AH105="","",IF($AH105="-",0,SUMIFS('5. 기출'!$AF$7:$AF$2012,'5. 기출'!$AJ$7:$AJ$2012,$AH105)))</x:f>
        <x:v/>
      </x:c>
      <x:c r="AR105" s="377" t="str">
        <x:f>IF($AH105="","",IF($AH105="-",0,COUNTIF('5. 기출'!$AJ$7:$AJ$2012,$AH105)))</x:f>
        <x:v/>
      </x:c>
      <x:c r="AS105" s="374" t="str">
        <x:f t="shared" si="452"/>
        <x:v/>
      </x:c>
    </x:row>
    <x:row r="106" spans="1:45" s="20" customFormat="1" ht="80.099999999999994" customHeight="1">
      <x:c r="A106" s="155" t="str">
        <x:f>IF(D106="","",COUNTA($C$7:C106)-COUNTBLANK($C$7:C106)+25)</x:f>
        <x:v/>
      </x:c>
      <x:c r="B106" s="156" t="str">
        <x: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x:f>
        <x:v/>
      </x:c>
      <x:c r="C106" s="156" t="str">
        <x:f>IF(D106="","",IF(OR(D106="교육지원과",D106="총무과",D106="인사과"),"직접입력",VLOOKUP(D106,구분표!$A$3:$C$258,3,)))</x:f>
        <x:v/>
      </x:c>
      <x:c r="D106" s="226"/>
      <x:c r="E106" s="213"/>
      <x:c r="F106" s="388" t="str">
        <x:f t="shared" si="453"/>
        <x:v/>
      </x:c>
      <x:c r="G106" s="388" t="str">
        <x:f t="shared" si="453"/>
        <x:v/>
      </x:c>
      <x:c r="H106" s="214"/>
      <x:c r="I106" s="237" t="str">
        <x:f>IF(H106="","",VLOOKUP($H106,구분표!$O$3:$P$168,2,FALSE))</x:f>
        <x:v/>
      </x:c>
      <x:c r="J106" s="215"/>
      <x:c r="K106" s="459" t="str">
        <x:f t="shared" si="454"/>
        <x:v/>
      </x:c>
      <x:c r="L106" s="459" t="str">
        <x:f t="shared" si="455"/>
        <x:v/>
      </x:c>
      <x:c r="M106" s="461" t="str">
        <x:f t="shared" si="439"/>
        <x:v/>
      </x:c>
      <x:c r="N106" s="460"/>
      <x:c r="O106" s="461">
        <x:f t="shared" si="440"/>
        <x:v>0</x:v>
      </x:c>
      <x:c r="P106" s="462"/>
      <x:c r="Q106" s="463">
        <x:f t="shared" si="441"/>
        <x:v>0</x:v>
      </x:c>
      <x:c r="R106" s="162" t="str">
        <x:f t="shared" si="442"/>
        <x:v>X</x:v>
      </x:c>
      <x:c r="S106" s="230"/>
      <x:c r="T106" s="225"/>
      <x:c r="U106" s="217"/>
      <x:c r="V106" s="203"/>
      <x:c r="W106" s="162" t="str">
        <x:f t="shared" si="443"/>
        <x:v/>
      </x:c>
      <x:c r="X106" s="217"/>
      <x:c r="Y106" s="45"/>
      <x:c r="Z106" s="508" t="str">
        <x:f t="shared" si="444"/>
        <x:v/>
      </x:c>
      <x:c r="AA106" s="508" t="str">
        <x:f t="shared" si="445"/>
        <x:v/>
      </x:c>
      <x:c r="AB106" s="374" t="str">
        <x:f t="shared" si="446"/>
        <x:v/>
      </x:c>
      <x:c r="AC106" s="46"/>
      <x:c r="AD106" s="508" t="str">
        <x:f t="shared" si="447"/>
        <x:v/>
      </x:c>
      <x:c r="AE106" s="508" t="str">
        <x:f t="shared" si="448"/>
        <x:v/>
      </x:c>
      <x:c r="AF106" s="374" t="str">
        <x:f t="shared" si="449"/>
        <x:v/>
      </x:c>
      <x:c r="AG106" s="46"/>
      <x:c r="AH106" s="374" t="str">
        <x:f>IF(AK106="","",IF($W106="도비","-",CONCATENATE(AK106,"-",COUNTIF(AK$7:$AK106,AK106))))</x:f>
        <x:v/>
      </x:c>
      <x:c r="AI106" s="374" t="str">
        <x:f t="shared" si="450"/>
        <x:v/>
      </x:c>
      <x:c r="AJ106" s="46"/>
      <x:c r="AK106" s="374" t="str">
        <x:f t="array" ref="AK106:AK106">IF(OR($D106="",$C106="직접입력",$B106="직접입력"),"",INDEX(구분표!$I$2:$I$337,MATCH(1,(구분표!$G$2:$G$337='5. 기입'!$B106)*(구분표!$E$2:$E$337='5. 기입'!$C106)*(구분표!$F$2:$F$337='5. 기입'!$D106),0)))</x:f>
        <x:v/>
      </x:c>
      <x:c r="AL106" s="47"/>
      <x:c r="AM106" s="472" t="str">
        <x:f>IF($AH106="","",IF($AH106="-",0,SUMIFS('5. 기출'!$AB$7:$AB$2012,'5. 기출'!$AJ$7:$AJ$2012,$AH106)))</x:f>
        <x:v/>
      </x:c>
      <x:c r="AN106" s="377" t="str">
        <x:f>IF($AH106="","",IF($AH106="-",0,COUNTIF('5. 기출'!$AJ$7:$AJ$2012,$AH106)))</x:f>
        <x:v/>
      </x:c>
      <x:c r="AO106" s="374" t="str">
        <x:f t="shared" si="451"/>
        <x:v/>
      </x:c>
      <x:c r="AP106" s="47"/>
      <x:c r="AQ106" s="472" t="str">
        <x:f>IF($AH106="","",IF($AH106="-",0,SUMIFS('5. 기출'!$AF$7:$AF$2012,'5. 기출'!$AJ$7:$AJ$2012,$AH106)))</x:f>
        <x:v/>
      </x:c>
      <x:c r="AR106" s="377" t="str">
        <x:f>IF($AH106="","",IF($AH106="-",0,COUNTIF('5. 기출'!$AJ$7:$AJ$2012,$AH106)))</x:f>
        <x:v/>
      </x:c>
      <x:c r="AS106" s="374" t="str">
        <x:f t="shared" si="452"/>
        <x:v/>
      </x:c>
    </x:row>
    <x:row r="107" spans="1:45" ht="60" customHeight="1">
      <x:c r="A107" s="171"/>
      <x:c r="B107" s="888" t="s">
        <x:v>876</x:v>
      </x:c>
      <x:c r="C107" s="888"/>
      <x:c r="D107" s="888"/>
      <x:c r="E107" s="888"/>
      <x:c r="F107" s="888"/>
      <x:c r="G107" s="888"/>
      <x:c r="H107" s="79"/>
      <x:c r="I107" s="79"/>
      <x:c r="J107" s="349" t="str">
        <x:f>SUBTOTAL(3,J108:J110)&amp;"건"</x:f>
        <x:v>0건</x:v>
      </x:c>
      <x:c r="K107" s="458">
        <x:f t="shared" ref="K107:Q107" si="456">SUBTOTAL(9,K108:K110)</x:f>
        <x:v>0</x:v>
      </x:c>
      <x:c r="L107" s="458">
        <x:f t="shared" si="456"/>
        <x:v>0</x:v>
      </x:c>
      <x:c r="M107" s="458">
        <x:f t="shared" si="456"/>
        <x:v>0</x:v>
      </x:c>
      <x:c r="N107" s="458">
        <x:f t="shared" si="456"/>
        <x:v>0</x:v>
      </x:c>
      <x:c r="O107" s="458">
        <x:f t="shared" si="456"/>
        <x:v>0</x:v>
      </x:c>
      <x:c r="P107" s="458">
        <x:f t="shared" si="456"/>
        <x:v>0</x:v>
      </x:c>
      <x:c r="Q107" s="458">
        <x:f t="shared" si="456"/>
        <x:v>0</x:v>
      </x:c>
      <x:c r="R107" s="78"/>
      <x:c r="S107" s="78"/>
      <x:c r="T107" s="78"/>
      <x:c r="U107" s="78"/>
      <x:c r="V107" s="78"/>
      <x:c r="W107" s="80"/>
      <x:c r="X107" s="80"/>
      <x:c r="Y107" s="43"/>
      <x:c r="Z107" s="458">
        <x:f>SUBTOTAL(9,Z108:Z110)</x:f>
        <x:v>0</x:v>
      </x:c>
      <x:c r="AA107" s="458">
        <x:f>SUBTOTAL(9,AA108:AA110)</x:f>
        <x:v>0</x:v>
      </x:c>
      <x:c r="AB107" s="556" t="str">
        <x:f>IF(COUNTIF(AB108:AB110,"@@")&gt;0,"@@","OK")</x:f>
        <x:v>OK</x:v>
      </x:c>
      <x:c r="AC107" s="44"/>
      <x:c r="AD107" s="458">
        <x:f>SUBTOTAL(9,AD108:AD110)</x:f>
        <x:v>0</x:v>
      </x:c>
      <x:c r="AE107" s="458">
        <x:f>SUBTOTAL(9,AE108:AE110)</x:f>
        <x:v>0</x:v>
      </x:c>
      <x:c r="AF107" s="556" t="str">
        <x:f>IF(COUNTIF(AF108:AF110,"@@")&gt;0,"@@","OK")</x:f>
        <x:v>OK</x:v>
      </x:c>
      <x:c r="AG107" s="44"/>
      <x:c r="AH107" s="171"/>
      <x:c r="AI107" s="171"/>
      <x:c r="AJ107" s="44"/>
      <x:c r="AK107" s="171"/>
      <x:c r="AL107" s="44"/>
      <x:c r="AM107" s="458">
        <x:f>SUBTOTAL(9,AM108:AM110)</x:f>
        <x:v>0</x:v>
      </x:c>
      <x:c r="AN107" s="458">
        <x:f>SUBTOTAL(9,AN108:AN110)</x:f>
        <x:v>0</x:v>
      </x:c>
      <x:c r="AO107" s="556" t="str">
        <x:f>IF(COUNTIF(AO108:AO110,"@@")&gt;0,"@@","OK")</x:f>
        <x:v>OK</x:v>
      </x:c>
      <x:c r="AP107" s="44"/>
      <x:c r="AQ107" s="458">
        <x:f>SUBTOTAL(9,AQ108:AQ110)</x:f>
        <x:v>0</x:v>
      </x:c>
      <x:c r="AR107" s="458">
        <x:f>SUBTOTAL(9,AR108:AR110)</x:f>
        <x:v>0</x:v>
      </x:c>
      <x:c r="AS107" s="556" t="str">
        <x:f>IF(COUNTIF(AS108:AS110,"@@")&gt;0,"@@","OK")</x:f>
        <x:v>OK</x:v>
      </x:c>
    </x:row>
    <x:row r="108" spans="1:45" s="20" customFormat="1" ht="80.099999999999994" customHeight="1">
      <x:c r="A108" s="155" t="str">
        <x:f>IF(D108="","",COUNTA($C$7:C108)-COUNTBLANK($C$7:C108)+26)</x:f>
        <x:v/>
      </x:c>
      <x:c r="B108" s="156" t="str">
        <x: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x:f>
        <x:v/>
      </x:c>
      <x:c r="C108" s="156" t="str">
        <x:f>IF(D108="","",IF(OR(D108="교육지원과",D108="총무과",D108="인사과"),"직접입력",VLOOKUP(D108,구분표!$A$3:$C$258,3,)))</x:f>
        <x:v/>
      </x:c>
      <x:c r="D108" s="226"/>
      <x:c r="E108" s="213"/>
      <x:c r="F108" s="388" t="str">
        <x:f>IF($E108="","",IF($E108="2추","직접입력","-"))</x:f>
        <x:v/>
      </x:c>
      <x:c r="G108" s="388" t="str">
        <x:f>IF($E108="","",IF($E108="2추","직접입력","-"))</x:f>
        <x:v/>
      </x:c>
      <x:c r="H108" s="214"/>
      <x:c r="I108" s="237" t="str">
        <x:f>IF(H108="","",VLOOKUP($H108,구분표!$O$3:$P$168,2,FALSE))</x:f>
        <x:v/>
      </x:c>
      <x:c r="J108" s="215"/>
      <x:c r="K108" s="459" t="str">
        <x:f>IF($E108="","",IF(OR($E108="2추",$E108="1추",$E108="본예산"),"금액입력","-"))</x:f>
        <x:v/>
      </x:c>
      <x:c r="L108" s="459" t="str">
        <x:f>IF($E108="","",IF($E108="2추","금액입력","-"))</x:f>
        <x:v/>
      </x:c>
      <x:c r="M108" s="461" t="str">
        <x:f t="shared" ref="M108:M110" si="457">IF($E108="","",SUM(K108:L108))</x:f>
        <x:v/>
      </x:c>
      <x:c r="N108" s="460"/>
      <x:c r="O108" s="461">
        <x:f t="shared" ref="O108:O110" si="458">SUM(M108:N108)</x:f>
        <x:v>0</x:v>
      </x:c>
      <x:c r="P108" s="462"/>
      <x:c r="Q108" s="463">
        <x:f t="shared" ref="Q108:Q110" si="459">SUM(M108,P108)</x:f>
        <x:v>0</x:v>
      </x:c>
      <x:c r="R108" s="162" t="str">
        <x:f t="shared" ref="R108:R110" si="460">IF(AND((O108=0),(Q108&gt;0)),"O",IF(AND((N108&lt;0),(O108-Q108&lt;0)),"O","X"))</x:f>
        <x:v>X</x:v>
      </x:c>
      <x:c r="S108" s="230"/>
      <x:c r="T108" s="225"/>
      <x:c r="U108" s="217"/>
      <x:c r="V108" s="203"/>
      <x:c r="W108" s="162" t="str">
        <x:f t="shared" ref="W108:W110" si="461">IF($H108="","",IF(OR($H108="511-01",$H108="511-02",$H108="511-03",$H108="311-02",$H108="311-04",$H108="321-01"),"국도비","도비"))</x:f>
        <x:v/>
      </x:c>
      <x:c r="X108" s="217"/>
      <x:c r="Y108" s="45"/>
      <x:c r="Z108" s="508" t="str">
        <x:f t="shared" ref="Z108:Z110" si="462">IF($W108="","",IF($W108="국도비",$N108,0))</x:f>
        <x:v/>
      </x:c>
      <x:c r="AA108" s="508" t="str">
        <x:f t="shared" ref="AA108:AA110" si="463">IF($W108="","",IF($W108="도비",$N108,0))</x:f>
        <x:v/>
      </x:c>
      <x:c r="AB108" s="374" t="str">
        <x:f t="shared" ref="AB108:AB110" si="464">IF($W108="","",IF($N108=SUM($Z108:$AA108),"OK","@@"))</x:f>
        <x:v/>
      </x:c>
      <x:c r="AC108" s="46"/>
      <x:c r="AD108" s="508" t="str">
        <x:f t="shared" ref="AD108:AD110" si="465">IF($W108="","",IF($W108="국도비",$P108,0))</x:f>
        <x:v/>
      </x:c>
      <x:c r="AE108" s="508" t="str">
        <x:f t="shared" ref="AE108:AE110" si="466">IF($W108="","",IF($W108="도비",$P108,0))</x:f>
        <x:v/>
      </x:c>
      <x:c r="AF108" s="374" t="str">
        <x:f t="shared" ref="AF108:AF110" si="467">IF($W108="","",IF($P108=SUM($AD108:$AE108),"OK","@@"))</x:f>
        <x:v/>
      </x:c>
      <x:c r="AG108" s="46"/>
      <x:c r="AH108" s="374" t="str">
        <x:f>IF(AK108="","",IF($W108="도비","-",CONCATENATE(AK108,"-",COUNTIF(AK$7:$AK108,AK108))))</x:f>
        <x:v/>
      </x:c>
      <x:c r="AI108" s="374" t="str">
        <x:f t="shared" ref="AI108:AI110" si="468">IF($H108="","",IF($H108="511-01","국비",IF($H108="511-02","균특",IF($H108="511-03","기금",IF($H108="311-02","특교",IF($H108="311-04","소교",IF($H108="321-01","소멸","도비")))))))</x:f>
        <x:v/>
      </x:c>
      <x:c r="AJ108" s="46"/>
      <x:c r="AK108" s="374" t="str">
        <x:f t="array" ref="AK108:AK108">IF(OR($D108="",$C108="직접입력",$B108="직접입력"),"",INDEX(구분표!$I$2:$I$337,MATCH(1,(구분표!$G$2:$G$337='5. 기입'!$B108)*(구분표!$E$2:$E$337='5. 기입'!$C108)*(구분표!$F$2:$F$337='5. 기입'!$D108),0)))</x:f>
        <x:v/>
      </x:c>
      <x:c r="AL108" s="47"/>
      <x:c r="AM108" s="472" t="str">
        <x:f>IF($AH108="","",IF($AH108="-",0,SUMIFS('5. 기출'!$AB$7:$AB$2012,'5. 기출'!$AJ$7:$AJ$2012,$AH108)))</x:f>
        <x:v/>
      </x:c>
      <x:c r="AN108" s="377" t="str">
        <x:f>IF($AH108="","",IF($AH108="-",0,COUNTIF('5. 기출'!$AJ$7:$AJ$2012,$AH108)))</x:f>
        <x:v/>
      </x:c>
      <x:c r="AO108" s="374" t="str">
        <x:f t="shared" ref="AO108:AO110" si="469">IF($AH108="","",IF($Z108=$AM108,"OK","@@"))</x:f>
        <x:v/>
      </x:c>
      <x:c r="AP108" s="47"/>
      <x:c r="AQ108" s="472" t="str">
        <x:f>IF($AH108="","",IF($AH108="-",0,SUMIFS('5. 기출'!$AF$7:$AF$2012,'5. 기출'!$AJ$7:$AJ$2012,$AH108)))</x:f>
        <x:v/>
      </x:c>
      <x:c r="AR108" s="377" t="str">
        <x:f>IF($AH108="","",IF($AH108="-",0,COUNTIF('5. 기출'!$AJ$7:$AJ$2012,$AH108)))</x:f>
        <x:v/>
      </x:c>
      <x:c r="AS108" s="374" t="str">
        <x:f t="shared" ref="AS108:AS110" si="470">IF($AH108="","",IF($AD108=$AQ108,"OK","@@"))</x:f>
        <x:v/>
      </x:c>
    </x:row>
    <x:row r="109" spans="1:45" s="20" customFormat="1" ht="80.099999999999994" customHeight="1">
      <x:c r="A109" s="155" t="str">
        <x:f>IF(D109="","",COUNTA($C$7:C109)-COUNTBLANK($C$7:C109)+26)</x:f>
        <x:v/>
      </x:c>
      <x:c r="B109" s="156" t="str">
        <x: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x:f>
        <x:v/>
      </x:c>
      <x:c r="C109" s="156" t="str">
        <x:f>IF(D109="","",IF(OR(D109="교육지원과",D109="총무과",D109="인사과"),"직접입력",VLOOKUP(D109,구분표!$A$3:$C$258,3,)))</x:f>
        <x:v/>
      </x:c>
      <x:c r="D109" s="226"/>
      <x:c r="E109" s="213"/>
      <x:c r="F109" s="388" t="str">
        <x:f t="shared" ref="F109:G110" si="471">IF($E109="","",IF($E109="2추","직접입력","-"))</x:f>
        <x:v/>
      </x:c>
      <x:c r="G109" s="388" t="str">
        <x:f t="shared" si="471"/>
        <x:v/>
      </x:c>
      <x:c r="H109" s="214"/>
      <x:c r="I109" s="237" t="str">
        <x:f>IF(H109="","",VLOOKUP($H109,구분표!$O$3:$P$168,2,FALSE))</x:f>
        <x:v/>
      </x:c>
      <x:c r="J109" s="215"/>
      <x:c r="K109" s="459" t="str">
        <x:f t="shared" ref="K109:K110" si="472">IF($E109="","",IF(OR($E109="2추",$E109="1추",$E109="본예산"),"금액입력","-"))</x:f>
        <x:v/>
      </x:c>
      <x:c r="L109" s="459" t="str">
        <x:f t="shared" ref="L109:L110" si="473">IF($E109="","",IF($E109="2추","금액입력","-"))</x:f>
        <x:v/>
      </x:c>
      <x:c r="M109" s="461" t="str">
        <x:f t="shared" si="457"/>
        <x:v/>
      </x:c>
      <x:c r="N109" s="460"/>
      <x:c r="O109" s="461">
        <x:f t="shared" si="458"/>
        <x:v>0</x:v>
      </x:c>
      <x:c r="P109" s="462"/>
      <x:c r="Q109" s="463">
        <x:f t="shared" si="459"/>
        <x:v>0</x:v>
      </x:c>
      <x:c r="R109" s="162" t="str">
        <x:f t="shared" si="460"/>
        <x:v>X</x:v>
      </x:c>
      <x:c r="S109" s="230"/>
      <x:c r="T109" s="225"/>
      <x:c r="U109" s="217"/>
      <x:c r="V109" s="203"/>
      <x:c r="W109" s="162" t="str">
        <x:f t="shared" si="461"/>
        <x:v/>
      </x:c>
      <x:c r="X109" s="217"/>
      <x:c r="Y109" s="45"/>
      <x:c r="Z109" s="508" t="str">
        <x:f t="shared" si="462"/>
        <x:v/>
      </x:c>
      <x:c r="AA109" s="508" t="str">
        <x:f t="shared" si="463"/>
        <x:v/>
      </x:c>
      <x:c r="AB109" s="374" t="str">
        <x:f t="shared" si="464"/>
        <x:v/>
      </x:c>
      <x:c r="AC109" s="46"/>
      <x:c r="AD109" s="508" t="str">
        <x:f t="shared" si="465"/>
        <x:v/>
      </x:c>
      <x:c r="AE109" s="508" t="str">
        <x:f t="shared" si="466"/>
        <x:v/>
      </x:c>
      <x:c r="AF109" s="374" t="str">
        <x:f t="shared" si="467"/>
        <x:v/>
      </x:c>
      <x:c r="AG109" s="46"/>
      <x:c r="AH109" s="374" t="str">
        <x:f>IF(AK109="","",IF($W109="도비","-",CONCATENATE(AK109,"-",COUNTIF(AK$7:$AK109,AK109))))</x:f>
        <x:v/>
      </x:c>
      <x:c r="AI109" s="374" t="str">
        <x:f t="shared" si="468"/>
        <x:v/>
      </x:c>
      <x:c r="AJ109" s="46"/>
      <x:c r="AK109" s="374" t="str">
        <x:f t="array" ref="AK109:AK109">IF(OR($D109="",$C109="직접입력",$B109="직접입력"),"",INDEX(구분표!$I$2:$I$337,MATCH(1,(구분표!$G$2:$G$337='5. 기입'!$B109)*(구분표!$E$2:$E$337='5. 기입'!$C109)*(구분표!$F$2:$F$337='5. 기입'!$D109),0)))</x:f>
        <x:v/>
      </x:c>
      <x:c r="AL109" s="47"/>
      <x:c r="AM109" s="472" t="str">
        <x:f>IF($AH109="","",IF($AH109="-",0,SUMIFS('5. 기출'!$AB$7:$AB$2012,'5. 기출'!$AJ$7:$AJ$2012,$AH109)))</x:f>
        <x:v/>
      </x:c>
      <x:c r="AN109" s="377" t="str">
        <x:f>IF($AH109="","",IF($AH109="-",0,COUNTIF('5. 기출'!$AJ$7:$AJ$2012,$AH109)))</x:f>
        <x:v/>
      </x:c>
      <x:c r="AO109" s="374" t="str">
        <x:f t="shared" si="469"/>
        <x:v/>
      </x:c>
      <x:c r="AP109" s="47"/>
      <x:c r="AQ109" s="472" t="str">
        <x:f>IF($AH109="","",IF($AH109="-",0,SUMIFS('5. 기출'!$AF$7:$AF$2012,'5. 기출'!$AJ$7:$AJ$2012,$AH109)))</x:f>
        <x:v/>
      </x:c>
      <x:c r="AR109" s="377" t="str">
        <x:f>IF($AH109="","",IF($AH109="-",0,COUNTIF('5. 기출'!$AJ$7:$AJ$2012,$AH109)))</x:f>
        <x:v/>
      </x:c>
      <x:c r="AS109" s="374" t="str">
        <x:f t="shared" si="470"/>
        <x:v/>
      </x:c>
    </x:row>
    <x:row r="110" spans="1:45" s="20" customFormat="1" ht="80.099999999999994" customHeight="1">
      <x:c r="A110" s="155" t="str">
        <x:f>IF(D110="","",COUNTA($C$7:C110)-COUNTBLANK($C$7:C110)+26)</x:f>
        <x:v/>
      </x:c>
      <x:c r="B110" s="156" t="str">
        <x: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x:f>
        <x:v/>
      </x:c>
      <x:c r="C110" s="156" t="str">
        <x:f>IF(D110="","",IF(OR(D110="교육지원과",D110="총무과",D110="인사과"),"직접입력",VLOOKUP(D110,구분표!$A$3:$C$258,3,)))</x:f>
        <x:v/>
      </x:c>
      <x:c r="D110" s="226"/>
      <x:c r="E110" s="213"/>
      <x:c r="F110" s="388" t="str">
        <x:f t="shared" si="471"/>
        <x:v/>
      </x:c>
      <x:c r="G110" s="388" t="str">
        <x:f t="shared" si="471"/>
        <x:v/>
      </x:c>
      <x:c r="H110" s="214"/>
      <x:c r="I110" s="237" t="str">
        <x:f>IF(H110="","",VLOOKUP($H110,구분표!$O$3:$P$168,2,FALSE))</x:f>
        <x:v/>
      </x:c>
      <x:c r="J110" s="215"/>
      <x:c r="K110" s="459" t="str">
        <x:f t="shared" si="472"/>
        <x:v/>
      </x:c>
      <x:c r="L110" s="459" t="str">
        <x:f t="shared" si="473"/>
        <x:v/>
      </x:c>
      <x:c r="M110" s="461" t="str">
        <x:f t="shared" si="457"/>
        <x:v/>
      </x:c>
      <x:c r="N110" s="460"/>
      <x:c r="O110" s="461">
        <x:f t="shared" si="458"/>
        <x:v>0</x:v>
      </x:c>
      <x:c r="P110" s="462"/>
      <x:c r="Q110" s="463">
        <x:f t="shared" si="459"/>
        <x:v>0</x:v>
      </x:c>
      <x:c r="R110" s="162" t="str">
        <x:f t="shared" si="460"/>
        <x:v>X</x:v>
      </x:c>
      <x:c r="S110" s="230"/>
      <x:c r="T110" s="225"/>
      <x:c r="U110" s="217"/>
      <x:c r="V110" s="203"/>
      <x:c r="W110" s="162" t="str">
        <x:f t="shared" si="461"/>
        <x:v/>
      </x:c>
      <x:c r="X110" s="217"/>
      <x:c r="Y110" s="45"/>
      <x:c r="Z110" s="508" t="str">
        <x:f t="shared" si="462"/>
        <x:v/>
      </x:c>
      <x:c r="AA110" s="508" t="str">
        <x:f t="shared" si="463"/>
        <x:v/>
      </x:c>
      <x:c r="AB110" s="374" t="str">
        <x:f t="shared" si="464"/>
        <x:v/>
      </x:c>
      <x:c r="AC110" s="46"/>
      <x:c r="AD110" s="508" t="str">
        <x:f t="shared" si="465"/>
        <x:v/>
      </x:c>
      <x:c r="AE110" s="508" t="str">
        <x:f t="shared" si="466"/>
        <x:v/>
      </x:c>
      <x:c r="AF110" s="374" t="str">
        <x:f t="shared" si="467"/>
        <x:v/>
      </x:c>
      <x:c r="AG110" s="46"/>
      <x:c r="AH110" s="374" t="str">
        <x:f>IF(AK110="","",IF($W110="도비","-",CONCATENATE(AK110,"-",COUNTIF(AK$7:$AK110,AK110))))</x:f>
        <x:v/>
      </x:c>
      <x:c r="AI110" s="374" t="str">
        <x:f t="shared" si="468"/>
        <x:v/>
      </x:c>
      <x:c r="AJ110" s="46"/>
      <x:c r="AK110" s="374" t="str">
        <x:f t="array" ref="AK110:AK110">IF(OR($D110="",$C110="직접입력",$B110="직접입력"),"",INDEX(구분표!$I$2:$I$337,MATCH(1,(구분표!$G$2:$G$337='5. 기입'!$B110)*(구분표!$E$2:$E$337='5. 기입'!$C110)*(구분표!$F$2:$F$337='5. 기입'!$D110),0)))</x:f>
        <x:v/>
      </x:c>
      <x:c r="AL110" s="47"/>
      <x:c r="AM110" s="472" t="str">
        <x:f>IF($AH110="","",IF($AH110="-",0,SUMIFS('5. 기출'!$AB$7:$AB$2012,'5. 기출'!$AJ$7:$AJ$2012,$AH110)))</x:f>
        <x:v/>
      </x:c>
      <x:c r="AN110" s="377" t="str">
        <x:f>IF($AH110="","",IF($AH110="-",0,COUNTIF('5. 기출'!$AJ$7:$AJ$2012,$AH110)))</x:f>
        <x:v/>
      </x:c>
      <x:c r="AO110" s="374" t="str">
        <x:f t="shared" si="469"/>
        <x:v/>
      </x:c>
      <x:c r="AP110" s="47"/>
      <x:c r="AQ110" s="472" t="str">
        <x:f>IF($AH110="","",IF($AH110="-",0,SUMIFS('5. 기출'!$AF$7:$AF$2012,'5. 기출'!$AJ$7:$AJ$2012,$AH110)))</x:f>
        <x:v/>
      </x:c>
      <x:c r="AR110" s="377" t="str">
        <x:f>IF($AH110="","",IF($AH110="-",0,COUNTIF('5. 기출'!$AJ$7:$AJ$2012,$AH110)))</x:f>
        <x:v/>
      </x:c>
      <x:c r="AS110" s="374" t="str">
        <x:f t="shared" si="470"/>
        <x:v/>
      </x:c>
    </x:row>
    <x:row r="111" spans="1:45" ht="60" customHeight="1">
      <x:c r="A111" s="171"/>
      <x:c r="B111" s="888" t="s">
        <x:v>1038</x:v>
      </x:c>
      <x:c r="C111" s="888"/>
      <x:c r="D111" s="888"/>
      <x:c r="E111" s="888"/>
      <x:c r="F111" s="888"/>
      <x:c r="G111" s="888"/>
      <x:c r="H111" s="79"/>
      <x:c r="I111" s="79"/>
      <x:c r="J111" s="349" t="str">
        <x:f>SUBTOTAL(3,J112:J114)&amp;"건"</x:f>
        <x:v>0건</x:v>
      </x:c>
      <x:c r="K111" s="458">
        <x:f t="shared" ref="K111:Q111" si="474">SUBTOTAL(9,K112:K114)</x:f>
        <x:v>0</x:v>
      </x:c>
      <x:c r="L111" s="458">
        <x:f t="shared" si="474"/>
        <x:v>0</x:v>
      </x:c>
      <x:c r="M111" s="458">
        <x:f t="shared" si="474"/>
        <x:v>0</x:v>
      </x:c>
      <x:c r="N111" s="458">
        <x:f t="shared" si="474"/>
        <x:v>0</x:v>
      </x:c>
      <x:c r="O111" s="458">
        <x:f t="shared" si="474"/>
        <x:v>0</x:v>
      </x:c>
      <x:c r="P111" s="458">
        <x:f t="shared" si="474"/>
        <x:v>0</x:v>
      </x:c>
      <x:c r="Q111" s="458">
        <x:f t="shared" si="474"/>
        <x:v>0</x:v>
      </x:c>
      <x:c r="R111" s="78"/>
      <x:c r="S111" s="78"/>
      <x:c r="T111" s="78"/>
      <x:c r="U111" s="78"/>
      <x:c r="V111" s="78"/>
      <x:c r="W111" s="80"/>
      <x:c r="X111" s="80"/>
      <x:c r="Y111" s="43"/>
      <x:c r="Z111" s="458">
        <x:f>SUBTOTAL(9,Z112:Z114)</x:f>
        <x:v>0</x:v>
      </x:c>
      <x:c r="AA111" s="458">
        <x:f>SUBTOTAL(9,AA112:AA114)</x:f>
        <x:v>0</x:v>
      </x:c>
      <x:c r="AB111" s="556" t="str">
        <x:f>IF(COUNTIF(AB112:AB114,"@@")&gt;0,"@@","OK")</x:f>
        <x:v>OK</x:v>
      </x:c>
      <x:c r="AC111" s="44"/>
      <x:c r="AD111" s="458">
        <x:f>SUBTOTAL(9,AD112:AD114)</x:f>
        <x:v>0</x:v>
      </x:c>
      <x:c r="AE111" s="458">
        <x:f>SUBTOTAL(9,AE112:AE114)</x:f>
        <x:v>0</x:v>
      </x:c>
      <x:c r="AF111" s="556" t="str">
        <x:f>IF(COUNTIF(AF112:AF114,"@@")&gt;0,"@@","OK")</x:f>
        <x:v>OK</x:v>
      </x:c>
      <x:c r="AG111" s="44"/>
      <x:c r="AH111" s="171"/>
      <x:c r="AI111" s="171"/>
      <x:c r="AJ111" s="44"/>
      <x:c r="AK111" s="171"/>
      <x:c r="AL111" s="44"/>
      <x:c r="AM111" s="458">
        <x:f>SUBTOTAL(9,AM112:AM114)</x:f>
        <x:v>0</x:v>
      </x:c>
      <x:c r="AN111" s="458">
        <x:f>SUBTOTAL(9,AN112:AN114)</x:f>
        <x:v>0</x:v>
      </x:c>
      <x:c r="AO111" s="556" t="str">
        <x:f>IF(COUNTIF(AO112:AO114,"@@")&gt;0,"@@","OK")</x:f>
        <x:v>OK</x:v>
      </x:c>
      <x:c r="AP111" s="44"/>
      <x:c r="AQ111" s="458">
        <x:f t="shared" ref="AQ111:AR111" si="475">SUBTOTAL(9,AQ112:AQ114)</x:f>
        <x:v>0</x:v>
      </x:c>
      <x:c r="AR111" s="458">
        <x:f t="shared" si="475"/>
        <x:v>0</x:v>
      </x:c>
      <x:c r="AS111" s="556" t="str">
        <x:f>IF(COUNTIF(AS112:AS114,"@@")&gt;0,"@@","OK")</x:f>
        <x:v>OK</x:v>
      </x:c>
    </x:row>
    <x:row r="112" spans="1:45" s="20" customFormat="1" ht="80.099999999999994" customHeight="1">
      <x:c r="A112" s="155" t="str">
        <x:f>IF(D112="","",COUNTA($C$7:C112)-COUNTBLANK($C$7:C112)+27)</x:f>
        <x:v/>
      </x:c>
      <x:c r="B112" s="156" t="str">
        <x: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x:f>
        <x:v/>
      </x:c>
      <x:c r="C112" s="156" t="str">
        <x:f>IF(D112="","",IF(OR(D112="교육지원과",D112="총무과",D112="인사과"),"직접입력",VLOOKUP(D112,구분표!$A$3:$C$258,3,)))</x:f>
        <x:v/>
      </x:c>
      <x:c r="D112" s="226"/>
      <x:c r="E112" s="213"/>
      <x:c r="F112" s="388" t="str">
        <x:f>IF($E112="","",IF($E112="2추","직접입력","-"))</x:f>
        <x:v/>
      </x:c>
      <x:c r="G112" s="388" t="str">
        <x:f>IF($E112="","",IF($E112="2추","직접입력","-"))</x:f>
        <x:v/>
      </x:c>
      <x:c r="H112" s="214"/>
      <x:c r="I112" s="237" t="str">
        <x:f>IF(H112="","",VLOOKUP($H112,구분표!$O$3:$P$168,2,FALSE))</x:f>
        <x:v/>
      </x:c>
      <x:c r="J112" s="215"/>
      <x:c r="K112" s="459" t="str">
        <x:f>IF($E112="","",IF(OR($E112="2추",$E112="1추",$E112="본예산"),"금액입력","-"))</x:f>
        <x:v/>
      </x:c>
      <x:c r="L112" s="459" t="str">
        <x:f>IF($E112="","",IF($E112="2추","금액입력","-"))</x:f>
        <x:v/>
      </x:c>
      <x:c r="M112" s="461" t="str">
        <x:f t="shared" ref="M112:M114" si="476">IF($E112="","",SUM(K112:L112))</x:f>
        <x:v/>
      </x:c>
      <x:c r="N112" s="460"/>
      <x:c r="O112" s="461">
        <x:f t="shared" ref="O112:O114" si="477">SUM(M112:N112)</x:f>
        <x:v>0</x:v>
      </x:c>
      <x:c r="P112" s="462"/>
      <x:c r="Q112" s="463">
        <x:f t="shared" ref="Q112:Q114" si="478">SUM(M112,P112)</x:f>
        <x:v>0</x:v>
      </x:c>
      <x:c r="R112" s="162" t="str">
        <x:f t="shared" ref="R112:R114" si="479">IF(AND((O112=0),(Q112&gt;0)),"O",IF(AND((N112&lt;0),(O112-Q112&lt;0)),"O","X"))</x:f>
        <x:v>X</x:v>
      </x:c>
      <x:c r="S112" s="230"/>
      <x:c r="T112" s="225"/>
      <x:c r="U112" s="217"/>
      <x:c r="V112" s="203"/>
      <x:c r="W112" s="162" t="str">
        <x:f t="shared" ref="W112:W114" si="480">IF($H112="","",IF(OR($H112="511-01",$H112="511-02",$H112="511-03",$H112="311-02",$H112="311-04",$H112="321-01"),"국도비","도비"))</x:f>
        <x:v/>
      </x:c>
      <x:c r="X112" s="217"/>
      <x:c r="Y112" s="45"/>
      <x:c r="Z112" s="508" t="str">
        <x:f t="shared" ref="Z112:Z114" si="481">IF($W112="","",IF($W112="국도비",$N112,0))</x:f>
        <x:v/>
      </x:c>
      <x:c r="AA112" s="508" t="str">
        <x:f t="shared" ref="AA112:AA114" si="482">IF($W112="","",IF($W112="도비",$N112,0))</x:f>
        <x:v/>
      </x:c>
      <x:c r="AB112" s="374" t="str">
        <x:f t="shared" ref="AB112:AB114" si="483">IF($W112="","",IF($N112=SUM($Z112:$AA112),"OK","@@"))</x:f>
        <x:v/>
      </x:c>
      <x:c r="AC112" s="46"/>
      <x:c r="AD112" s="508" t="str">
        <x:f t="shared" ref="AD112:AD114" si="484">IF($W112="","",IF($W112="국도비",$P112,0))</x:f>
        <x:v/>
      </x:c>
      <x:c r="AE112" s="508" t="str">
        <x:f t="shared" ref="AE112:AE114" si="485">IF($W112="","",IF($W112="도비",$P112,0))</x:f>
        <x:v/>
      </x:c>
      <x:c r="AF112" s="374" t="str">
        <x:f t="shared" ref="AF112:AF114" si="486">IF($W112="","",IF($P112=SUM($AD112:$AE112),"OK","@@"))</x:f>
        <x:v/>
      </x:c>
      <x:c r="AG112" s="46"/>
      <x:c r="AH112" s="374" t="str">
        <x:f>IF(AK112="","",IF($W112="도비","-",CONCATENATE(AK112,"-",COUNTIF(AK$7:$AK112,AK112))))</x:f>
        <x:v/>
      </x:c>
      <x:c r="AI112" s="374" t="str">
        <x:f t="shared" ref="AI112:AI114" si="487">IF($H112="","",IF($H112="511-01","국비",IF($H112="511-02","균특",IF($H112="511-03","기금",IF($H112="311-02","특교",IF($H112="311-04","소교",IF($H112="321-01","소멸","도비")))))))</x:f>
        <x:v/>
      </x:c>
      <x:c r="AJ112" s="46"/>
      <x:c r="AK112" s="374" t="str">
        <x:f t="array" ref="AK112:AK112">IF(OR($D112="",$C112="직접입력",$B112="직접입력"),"",INDEX(구분표!$I$2:$I$337,MATCH(1,(구분표!$G$2:$G$337='5. 기입'!$B112)*(구분표!$E$2:$E$337='5. 기입'!$C112)*(구분표!$F$2:$F$337='5. 기입'!$D112),0)))</x:f>
        <x:v/>
      </x:c>
      <x:c r="AL112" s="47"/>
      <x:c r="AM112" s="472" t="str">
        <x:f>IF($AH112="","",IF($AH112="-",0,SUMIFS('5. 기출'!$AB$7:$AB$2012,'5. 기출'!$AJ$7:$AJ$2012,$AH112)))</x:f>
        <x:v/>
      </x:c>
      <x:c r="AN112" s="377" t="str">
        <x:f>IF($AH112="","",IF($AH112="-",0,COUNTIF('5. 기출'!$AJ$7:$AJ$2012,$AH112)))</x:f>
        <x:v/>
      </x:c>
      <x:c r="AO112" s="374" t="str">
        <x:f t="shared" ref="AO112:AO114" si="488">IF($AH112="","",IF($Z112=$AM112,"OK","@@"))</x:f>
        <x:v/>
      </x:c>
      <x:c r="AP112" s="47"/>
      <x:c r="AQ112" s="472" t="str">
        <x:f>IF($AH112="","",IF($AH112="-",0,SUMIFS('5. 기출'!$AF$7:$AF$2012,'5. 기출'!$AJ$7:$AJ$2012,$AH112)))</x:f>
        <x:v/>
      </x:c>
      <x:c r="AR112" s="377" t="str">
        <x:f>IF($AH112="","",IF($AH112="-",0,COUNTIF('5. 기출'!$AJ$7:$AJ$2012,$AH112)))</x:f>
        <x:v/>
      </x:c>
      <x:c r="AS112" s="374" t="str">
        <x:f t="shared" ref="AS112:AS114" si="489">IF($AH112="","",IF($AD112=$AQ112,"OK","@@"))</x:f>
        <x:v/>
      </x:c>
    </x:row>
    <x:row r="113" spans="1:45" s="20" customFormat="1" ht="80.099999999999994" customHeight="1">
      <x:c r="A113" s="155" t="str">
        <x:f>IF(D113="","",COUNTA($C$7:C113)-COUNTBLANK($C$7:C113)+27)</x:f>
        <x:v/>
      </x:c>
      <x:c r="B113" s="156" t="str">
        <x: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x:f>
        <x:v/>
      </x:c>
      <x:c r="C113" s="156" t="str">
        <x:f>IF(D113="","",IF(OR(D113="교육지원과",D113="총무과",D113="인사과"),"직접입력",VLOOKUP(D113,구분표!$A$3:$C$258,3,)))</x:f>
        <x:v/>
      </x:c>
      <x:c r="D113" s="226"/>
      <x:c r="E113" s="213"/>
      <x:c r="F113" s="388" t="str">
        <x:f t="shared" ref="F113:G114" si="490">IF($E113="","",IF($E113="2추","직접입력","-"))</x:f>
        <x:v/>
      </x:c>
      <x:c r="G113" s="388" t="str">
        <x:f t="shared" si="490"/>
        <x:v/>
      </x:c>
      <x:c r="H113" s="214"/>
      <x:c r="I113" s="237" t="str">
        <x:f>IF(H113="","",VLOOKUP($H113,구분표!$O$3:$P$168,2,FALSE))</x:f>
        <x:v/>
      </x:c>
      <x:c r="J113" s="215"/>
      <x:c r="K113" s="459" t="str">
        <x:f t="shared" ref="K113:K114" si="491">IF($E113="","",IF(OR($E113="2추",$E113="1추",$E113="본예산"),"금액입력","-"))</x:f>
        <x:v/>
      </x:c>
      <x:c r="L113" s="459" t="str">
        <x:f t="shared" ref="L113:L114" si="492">IF($E113="","",IF($E113="2추","금액입력","-"))</x:f>
        <x:v/>
      </x:c>
      <x:c r="M113" s="461" t="str">
        <x:f t="shared" si="476"/>
        <x:v/>
      </x:c>
      <x:c r="N113" s="460"/>
      <x:c r="O113" s="461">
        <x:f t="shared" si="477"/>
        <x:v>0</x:v>
      </x:c>
      <x:c r="P113" s="462"/>
      <x:c r="Q113" s="463">
        <x:f t="shared" si="478"/>
        <x:v>0</x:v>
      </x:c>
      <x:c r="R113" s="162" t="str">
        <x:f t="shared" si="479"/>
        <x:v>X</x:v>
      </x:c>
      <x:c r="S113" s="230"/>
      <x:c r="T113" s="225"/>
      <x:c r="U113" s="217"/>
      <x:c r="V113" s="203"/>
      <x:c r="W113" s="162" t="str">
        <x:f t="shared" si="480"/>
        <x:v/>
      </x:c>
      <x:c r="X113" s="217"/>
      <x:c r="Y113" s="45"/>
      <x:c r="Z113" s="508" t="str">
        <x:f t="shared" si="481"/>
        <x:v/>
      </x:c>
      <x:c r="AA113" s="508" t="str">
        <x:f t="shared" si="482"/>
        <x:v/>
      </x:c>
      <x:c r="AB113" s="374" t="str">
        <x:f t="shared" si="483"/>
        <x:v/>
      </x:c>
      <x:c r="AC113" s="46"/>
      <x:c r="AD113" s="508" t="str">
        <x:f t="shared" si="484"/>
        <x:v/>
      </x:c>
      <x:c r="AE113" s="508" t="str">
        <x:f t="shared" si="485"/>
        <x:v/>
      </x:c>
      <x:c r="AF113" s="374" t="str">
        <x:f t="shared" si="486"/>
        <x:v/>
      </x:c>
      <x:c r="AG113" s="46"/>
      <x:c r="AH113" s="374" t="str">
        <x:f>IF(AK113="","",IF($W113="도비","-",CONCATENATE(AK113,"-",COUNTIF(AK$7:$AK113,AK113))))</x:f>
        <x:v/>
      </x:c>
      <x:c r="AI113" s="374" t="str">
        <x:f t="shared" si="487"/>
        <x:v/>
      </x:c>
      <x:c r="AJ113" s="46"/>
      <x:c r="AK113" s="374" t="str">
        <x:f t="array" ref="AK113:AK113">IF(OR($D113="",$C113="직접입력",$B113="직접입력"),"",INDEX(구분표!$I$2:$I$337,MATCH(1,(구분표!$G$2:$G$337='5. 기입'!$B113)*(구분표!$E$2:$E$337='5. 기입'!$C113)*(구분표!$F$2:$F$337='5. 기입'!$D113),0)))</x:f>
        <x:v/>
      </x:c>
      <x:c r="AL113" s="47"/>
      <x:c r="AM113" s="472" t="str">
        <x:f>IF($AH113="","",IF($AH113="-",0,SUMIFS('5. 기출'!$AB$7:$AB$2012,'5. 기출'!$AJ$7:$AJ$2012,$AH113)))</x:f>
        <x:v/>
      </x:c>
      <x:c r="AN113" s="377" t="str">
        <x:f>IF($AH113="","",IF($AH113="-",0,COUNTIF('5. 기출'!$AJ$7:$AJ$2012,$AH113)))</x:f>
        <x:v/>
      </x:c>
      <x:c r="AO113" s="374" t="str">
        <x:f t="shared" si="488"/>
        <x:v/>
      </x:c>
      <x:c r="AP113" s="47"/>
      <x:c r="AQ113" s="472" t="str">
        <x:f>IF($AH113="","",IF($AH113="-",0,SUMIFS('5. 기출'!$AF$7:$AF$2012,'5. 기출'!$AJ$7:$AJ$2012,$AH113)))</x:f>
        <x:v/>
      </x:c>
      <x:c r="AR113" s="377" t="str">
        <x:f>IF($AH113="","",IF($AH113="-",0,COUNTIF('5. 기출'!$AJ$7:$AJ$2012,$AH113)))</x:f>
        <x:v/>
      </x:c>
      <x:c r="AS113" s="374" t="str">
        <x:f t="shared" si="489"/>
        <x:v/>
      </x:c>
    </x:row>
    <x:row r="114" spans="1:45" s="20" customFormat="1" ht="80.099999999999994" customHeight="1">
      <x:c r="A114" s="155" t="str">
        <x:f>IF(D114="","",COUNTA($C$7:C114)-COUNTBLANK($C$7:C114)+27)</x:f>
        <x:v/>
      </x:c>
      <x:c r="B114" s="156" t="str">
        <x: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x:f>
        <x:v/>
      </x:c>
      <x:c r="C114" s="156" t="str">
        <x:f>IF(D114="","",IF(OR(D114="교육지원과",D114="총무과",D114="인사과"),"직접입력",VLOOKUP(D114,구분표!$A$3:$C$258,3,)))</x:f>
        <x:v/>
      </x:c>
      <x:c r="D114" s="226"/>
      <x:c r="E114" s="213"/>
      <x:c r="F114" s="388" t="str">
        <x:f t="shared" si="490"/>
        <x:v/>
      </x:c>
      <x:c r="G114" s="388" t="str">
        <x:f t="shared" si="490"/>
        <x:v/>
      </x:c>
      <x:c r="H114" s="214"/>
      <x:c r="I114" s="237" t="str">
        <x:f>IF(H114="","",VLOOKUP($H114,구분표!$O$3:$P$168,2,FALSE))</x:f>
        <x:v/>
      </x:c>
      <x:c r="J114" s="215"/>
      <x:c r="K114" s="459" t="str">
        <x:f t="shared" si="491"/>
        <x:v/>
      </x:c>
      <x:c r="L114" s="459" t="str">
        <x:f t="shared" si="492"/>
        <x:v/>
      </x:c>
      <x:c r="M114" s="461" t="str">
        <x:f t="shared" si="476"/>
        <x:v/>
      </x:c>
      <x:c r="N114" s="460"/>
      <x:c r="O114" s="461">
        <x:f t="shared" si="477"/>
        <x:v>0</x:v>
      </x:c>
      <x:c r="P114" s="462"/>
      <x:c r="Q114" s="463">
        <x:f t="shared" si="478"/>
        <x:v>0</x:v>
      </x:c>
      <x:c r="R114" s="162" t="str">
        <x:f t="shared" si="479"/>
        <x:v>X</x:v>
      </x:c>
      <x:c r="S114" s="230"/>
      <x:c r="T114" s="225"/>
      <x:c r="U114" s="217"/>
      <x:c r="V114" s="203"/>
      <x:c r="W114" s="162" t="str">
        <x:f t="shared" si="480"/>
        <x:v/>
      </x:c>
      <x:c r="X114" s="217"/>
      <x:c r="Y114" s="45"/>
      <x:c r="Z114" s="508" t="str">
        <x:f t="shared" si="481"/>
        <x:v/>
      </x:c>
      <x:c r="AA114" s="508" t="str">
        <x:f t="shared" si="482"/>
        <x:v/>
      </x:c>
      <x:c r="AB114" s="374" t="str">
        <x:f t="shared" si="483"/>
        <x:v/>
      </x:c>
      <x:c r="AC114" s="46"/>
      <x:c r="AD114" s="508" t="str">
        <x:f t="shared" si="484"/>
        <x:v/>
      </x:c>
      <x:c r="AE114" s="508" t="str">
        <x:f t="shared" si="485"/>
        <x:v/>
      </x:c>
      <x:c r="AF114" s="374" t="str">
        <x:f t="shared" si="486"/>
        <x:v/>
      </x:c>
      <x:c r="AG114" s="46"/>
      <x:c r="AH114" s="374" t="str">
        <x:f>IF(AK114="","",IF($W114="도비","-",CONCATENATE(AK114,"-",COUNTIF(AK$7:$AK114,AK114))))</x:f>
        <x:v/>
      </x:c>
      <x:c r="AI114" s="374" t="str">
        <x:f t="shared" si="487"/>
        <x:v/>
      </x:c>
      <x:c r="AJ114" s="46"/>
      <x:c r="AK114" s="374" t="str">
        <x:f t="array" ref="AK114:AK114">IF(OR($D114="",$C114="직접입력",$B114="직접입력"),"",INDEX(구분표!$I$2:$I$337,MATCH(1,(구분표!$G$2:$G$337='5. 기입'!$B114)*(구분표!$E$2:$E$337='5. 기입'!$C114)*(구분표!$F$2:$F$337='5. 기입'!$D114),0)))</x:f>
        <x:v/>
      </x:c>
      <x:c r="AL114" s="47"/>
      <x:c r="AM114" s="472" t="str">
        <x:f>IF($AH114="","",IF($AH114="-",0,SUMIFS('5. 기출'!$AB$7:$AB$2012,'5. 기출'!$AJ$7:$AJ$2012,$AH114)))</x:f>
        <x:v/>
      </x:c>
      <x:c r="AN114" s="377" t="str">
        <x:f>IF($AH114="","",IF($AH114="-",0,COUNTIF('5. 기출'!$AJ$7:$AJ$2012,$AH114)))</x:f>
        <x:v/>
      </x:c>
      <x:c r="AO114" s="374" t="str">
        <x:f t="shared" si="488"/>
        <x:v/>
      </x:c>
      <x:c r="AP114" s="47"/>
      <x:c r="AQ114" s="472" t="str">
        <x:f>IF($AH114="","",IF($AH114="-",0,SUMIFS('5. 기출'!$AF$7:$AF$2012,'5. 기출'!$AJ$7:$AJ$2012,$AH114)))</x:f>
        <x:v/>
      </x:c>
      <x:c r="AR114" s="377" t="str">
        <x:f>IF($AH114="","",IF($AH114="-",0,COUNTIF('5. 기출'!$AJ$7:$AJ$2012,$AH114)))</x:f>
        <x:v/>
      </x:c>
      <x:c r="AS114" s="374" t="str">
        <x:f t="shared" si="489"/>
        <x:v/>
      </x:c>
    </x:row>
    <x:row r="115" spans="1:45" ht="60.75" customHeight="1">
      <x:c r="A115" s="171"/>
      <x:c r="B115" s="888" t="s">
        <x:v>1024</x:v>
      </x:c>
      <x:c r="C115" s="888"/>
      <x:c r="D115" s="888"/>
      <x:c r="E115" s="888"/>
      <x:c r="F115" s="888"/>
      <x:c r="G115" s="888"/>
      <x:c r="H115" s="79"/>
      <x:c r="I115" s="79"/>
      <x:c r="J115" s="349" t="str">
        <x:f>SUBTOTAL(3,J116:J118)&amp;"건"</x:f>
        <x:v>0건</x:v>
      </x:c>
      <x:c r="K115" s="458">
        <x:f t="shared" ref="K115:Q115" si="493">SUBTOTAL(9,K116:K118)</x:f>
        <x:v>0</x:v>
      </x:c>
      <x:c r="L115" s="458">
        <x:f t="shared" si="493"/>
        <x:v>0</x:v>
      </x:c>
      <x:c r="M115" s="458">
        <x:f t="shared" si="493"/>
        <x:v>0</x:v>
      </x:c>
      <x:c r="N115" s="458">
        <x:f t="shared" si="493"/>
        <x:v>0</x:v>
      </x:c>
      <x:c r="O115" s="458">
        <x:f t="shared" si="493"/>
        <x:v>0</x:v>
      </x:c>
      <x:c r="P115" s="458">
        <x:f t="shared" si="493"/>
        <x:v>0</x:v>
      </x:c>
      <x:c r="Q115" s="458">
        <x:f t="shared" si="493"/>
        <x:v>0</x:v>
      </x:c>
      <x:c r="R115" s="78"/>
      <x:c r="S115" s="78"/>
      <x:c r="T115" s="78"/>
      <x:c r="U115" s="78"/>
      <x:c r="V115" s="78"/>
      <x:c r="W115" s="80"/>
      <x:c r="X115" s="80"/>
      <x:c r="Y115" s="43"/>
      <x:c r="Z115" s="458">
        <x:f>SUBTOTAL(9,Z116:Z118)</x:f>
        <x:v>0</x:v>
      </x:c>
      <x:c r="AA115" s="458">
        <x:f>SUBTOTAL(9,AA116:AA118)</x:f>
        <x:v>0</x:v>
      </x:c>
      <x:c r="AB115" s="556" t="str">
        <x:f>IF(COUNTIF(AB116:AB118,"@@")&gt;0,"@@","OK")</x:f>
        <x:v>OK</x:v>
      </x:c>
      <x:c r="AC115" s="44"/>
      <x:c r="AD115" s="458">
        <x:f>SUBTOTAL(9,AD116:AD118)</x:f>
        <x:v>0</x:v>
      </x:c>
      <x:c r="AE115" s="458">
        <x:f>SUBTOTAL(9,AE116:AE118)</x:f>
        <x:v>0</x:v>
      </x:c>
      <x:c r="AF115" s="556" t="str">
        <x:f>IF(COUNTIF(AF116:AF118,"@@")&gt;0,"@@","OK")</x:f>
        <x:v>OK</x:v>
      </x:c>
      <x:c r="AG115" s="44"/>
      <x:c r="AH115" s="171"/>
      <x:c r="AI115" s="171"/>
      <x:c r="AJ115" s="44"/>
      <x:c r="AK115" s="171"/>
      <x:c r="AL115" s="44"/>
      <x:c r="AM115" s="458">
        <x:f>SUBTOTAL(9,AM116:AM118)</x:f>
        <x:v>0</x:v>
      </x:c>
      <x:c r="AN115" s="458">
        <x:f>SUBTOTAL(9,AN116:AN118)</x:f>
        <x:v>0</x:v>
      </x:c>
      <x:c r="AO115" s="556" t="str">
        <x:f>IF(COUNTIF(AO116:AO118,"@@")&gt;0,"@@","OK")</x:f>
        <x:v>OK</x:v>
      </x:c>
      <x:c r="AP115" s="44"/>
      <x:c r="AQ115" s="458">
        <x:f t="shared" ref="AQ115:AR115" si="494">SUBTOTAL(9,AQ116:AQ118)</x:f>
        <x:v>0</x:v>
      </x:c>
      <x:c r="AR115" s="458">
        <x:f t="shared" si="494"/>
        <x:v>0</x:v>
      </x:c>
      <x:c r="AS115" s="556" t="str">
        <x:f>IF(COUNTIF(AS116:AS118,"@@")&gt;0,"@@","OK")</x:f>
        <x:v>OK</x:v>
      </x:c>
    </x:row>
    <x:row r="116" spans="1:45" ht="79.5" customHeight="1">
      <x:c r="A116" s="155" t="str">
        <x:f>IF(D116="","",COUNTA($C$7:C116)-COUNTBLANK($C$7:C116)+28)</x:f>
        <x:v/>
      </x:c>
      <x:c r="B116" s="156" t="str">
        <x: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x:f>
        <x:v/>
      </x:c>
      <x:c r="C116" s="156" t="str">
        <x:f>IF(D116="","",IF(OR(D116="교육지원과",D116="총무과",D116="인사과"),"직접입력",VLOOKUP(D116,구분표!$A$3:$C$258,3,)))</x:f>
        <x:v/>
      </x:c>
      <x:c r="D116" s="226"/>
      <x:c r="E116" s="213"/>
      <x:c r="F116" s="388" t="str">
        <x:f>IF($E116="","",IF($E116="2추","직접입력","-"))</x:f>
        <x:v/>
      </x:c>
      <x:c r="G116" s="388" t="str">
        <x:f>IF($E116="","",IF($E116="2추","직접입력","-"))</x:f>
        <x:v/>
      </x:c>
      <x:c r="H116" s="214"/>
      <x:c r="I116" s="237" t="str">
        <x:f>IF(H116="","",VLOOKUP($H116,구분표!$O$3:$P$168,2,FALSE))</x:f>
        <x:v/>
      </x:c>
      <x:c r="J116" s="215"/>
      <x:c r="K116" s="459" t="str">
        <x:f>IF($E116="","",IF(OR($E116="2추",$E116="1추",$E116="본예산"),"금액입력","-"))</x:f>
        <x:v/>
      </x:c>
      <x:c r="L116" s="459" t="str">
        <x:f>IF($E116="","",IF($E116="2추","금액입력","-"))</x:f>
        <x:v/>
      </x:c>
      <x:c r="M116" s="461" t="str">
        <x:f t="shared" ref="M116:M118" si="495">IF($E116="","",SUM(K116:L116))</x:f>
        <x:v/>
      </x:c>
      <x:c r="N116" s="460"/>
      <x:c r="O116" s="461">
        <x:f t="shared" ref="O116:O118" si="496">SUM(M116:N116)</x:f>
        <x:v>0</x:v>
      </x:c>
      <x:c r="P116" s="462"/>
      <x:c r="Q116" s="463">
        <x:f t="shared" ref="Q116:Q118" si="497">SUM(M116,P116)</x:f>
        <x:v>0</x:v>
      </x:c>
      <x:c r="R116" s="162" t="str">
        <x:f t="shared" ref="R116:R118" si="498">IF(AND((O116=0),(Q116&gt;0)),"O",IF(AND((N116&lt;0),(O116-Q116&lt;0)),"O","X"))</x:f>
        <x:v>X</x:v>
      </x:c>
      <x:c r="S116" s="230"/>
      <x:c r="T116" s="225"/>
      <x:c r="U116" s="217"/>
      <x:c r="V116" s="203"/>
      <x:c r="W116" s="162" t="str">
        <x:f t="shared" ref="W116:W118" si="499">IF($H116="","",IF(OR($H116="511-01",$H116="511-02",$H116="511-03",$H116="311-02",$H116="311-04",$H116="321-01"),"국도비","도비"))</x:f>
        <x:v/>
      </x:c>
      <x:c r="X116" s="217"/>
      <x:c r="Y116" s="45"/>
      <x:c r="Z116" s="508" t="str">
        <x:f t="shared" ref="Z116:Z118" si="500">IF($W116="","",IF($W116="국도비",$N116,0))</x:f>
        <x:v/>
      </x:c>
      <x:c r="AA116" s="508" t="str">
        <x:f t="shared" ref="AA116:AA118" si="501">IF($W116="","",IF($W116="도비",$N116,0))</x:f>
        <x:v/>
      </x:c>
      <x:c r="AB116" s="374" t="str">
        <x:f t="shared" ref="AB116:AB118" si="502">IF($W116="","",IF($N116=SUM($Z116:$AA116),"OK","@@"))</x:f>
        <x:v/>
      </x:c>
      <x:c r="AC116" s="46"/>
      <x:c r="AD116" s="508" t="str">
        <x:f t="shared" ref="AD116:AD118" si="503">IF($W116="","",IF($W116="국도비",$P116,0))</x:f>
        <x:v/>
      </x:c>
      <x:c r="AE116" s="508" t="str">
        <x:f t="shared" ref="AE116:AE118" si="504">IF($W116="","",IF($W116="도비",$P116,0))</x:f>
        <x:v/>
      </x:c>
      <x:c r="AF116" s="374" t="str">
        <x:f t="shared" ref="AF116:AF118" si="505">IF($W116="","",IF($P116=SUM($AD116:$AE116),"OK","@@"))</x:f>
        <x:v/>
      </x:c>
      <x:c r="AG116" s="46"/>
      <x:c r="AH116" s="374" t="str">
        <x:f>IF(AK116="","",IF($W116="도비","-",CONCATENATE(AK116,"-",COUNTIF(AK$7:$AK116,AK116))))</x:f>
        <x:v/>
      </x:c>
      <x:c r="AI116" s="374" t="str">
        <x:f t="shared" ref="AI116:AI118" si="506">IF($H116="","",IF($H116="511-01","국비",IF($H116="511-02","균특",IF($H116="511-03","기금",IF($H116="311-02","특교",IF($H116="311-04","소교",IF($H116="321-01","소멸","도비")))))))</x:f>
        <x:v/>
      </x:c>
      <x:c r="AJ116" s="46"/>
      <x:c r="AK116" s="374" t="str">
        <x:f t="array" ref="AK116:AK116">IF(OR($D116="",$C116="직접입력",$B116="직접입력"),"",INDEX(구분표!$I$2:$I$337,MATCH(1,(구분표!$G$2:$G$337='5. 기입'!$B116)*(구분표!$E$2:$E$337='5. 기입'!$C116)*(구분표!$F$2:$F$337='5. 기입'!$D116),0)))</x:f>
        <x:v/>
      </x:c>
      <x:c r="AL116" s="47"/>
      <x:c r="AM116" s="472" t="str">
        <x:f>IF($AH116="","",IF($AH116="-",0,SUMIFS('5. 기출'!$AB$7:$AB$2012,'5. 기출'!$AJ$7:$AJ$2012,$AH116)))</x:f>
        <x:v/>
      </x:c>
      <x:c r="AN116" s="377" t="str">
        <x:f>IF($AH116="","",IF($AH116="-",0,COUNTIF('5. 기출'!$AJ$7:$AJ$2012,$AH116)))</x:f>
        <x:v/>
      </x:c>
      <x:c r="AO116" s="374" t="str">
        <x:f t="shared" ref="AO116:AO118" si="507">IF($AH116="","",IF($Z116=$AM116,"OK","@@"))</x:f>
        <x:v/>
      </x:c>
      <x:c r="AP116" s="47"/>
      <x:c r="AQ116" s="472" t="str">
        <x:f>IF($AH116="","",IF($AH116="-",0,SUMIFS('5. 기출'!$AF$7:$AF$2012,'5. 기출'!$AJ$7:$AJ$2012,$AH116)))</x:f>
        <x:v/>
      </x:c>
      <x:c r="AR116" s="377" t="str">
        <x:f>IF($AH116="","",IF($AH116="-",0,COUNTIF('5. 기출'!$AJ$7:$AJ$2012,$AH116)))</x:f>
        <x:v/>
      </x:c>
      <x:c r="AS116" s="374" t="str">
        <x:f t="shared" ref="AS116:AS118" si="508">IF($AH116="","",IF($AD116=$AQ116,"OK","@@"))</x:f>
        <x:v/>
      </x:c>
    </x:row>
    <x:row r="117" spans="1:45" ht="79.5" customHeight="1">
      <x:c r="A117" s="155" t="str">
        <x:f>IF(D117="","",COUNTA($C$7:C117)-COUNTBLANK($C$7:C117)+28)</x:f>
        <x:v/>
      </x:c>
      <x:c r="B117" s="156" t="str">
        <x: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x:f>
        <x:v/>
      </x:c>
      <x:c r="C117" s="156" t="str">
        <x:f>IF(D117="","",IF(OR(D117="교육지원과",D117="총무과",D117="인사과"),"직접입력",VLOOKUP(D117,구분표!$A$3:$C$258,3,)))</x:f>
        <x:v/>
      </x:c>
      <x:c r="D117" s="226"/>
      <x:c r="E117" s="213"/>
      <x:c r="F117" s="388" t="str">
        <x:f t="shared" ref="F117:G118" si="509">IF($E117="","",IF($E117="2추","직접입력","-"))</x:f>
        <x:v/>
      </x:c>
      <x:c r="G117" s="388" t="str">
        <x:f t="shared" si="509"/>
        <x:v/>
      </x:c>
      <x:c r="H117" s="214"/>
      <x:c r="I117" s="237" t="str">
        <x:f>IF(H117="","",VLOOKUP($H117,구분표!$O$3:$P$168,2,FALSE))</x:f>
        <x:v/>
      </x:c>
      <x:c r="J117" s="215"/>
      <x:c r="K117" s="459" t="str">
        <x:f t="shared" ref="K117:K118" si="510">IF($E117="","",IF(OR($E117="2추",$E117="1추",$E117="본예산"),"금액입력","-"))</x:f>
        <x:v/>
      </x:c>
      <x:c r="L117" s="459" t="str">
        <x:f t="shared" ref="L117:L118" si="511">IF($E117="","",IF($E117="2추","금액입력","-"))</x:f>
        <x:v/>
      </x:c>
      <x:c r="M117" s="461" t="str">
        <x:f t="shared" si="495"/>
        <x:v/>
      </x:c>
      <x:c r="N117" s="460"/>
      <x:c r="O117" s="461">
        <x:f t="shared" si="496"/>
        <x:v>0</x:v>
      </x:c>
      <x:c r="P117" s="462"/>
      <x:c r="Q117" s="463">
        <x:f t="shared" si="497"/>
        <x:v>0</x:v>
      </x:c>
      <x:c r="R117" s="162" t="str">
        <x:f t="shared" si="498"/>
        <x:v>X</x:v>
      </x:c>
      <x:c r="S117" s="230"/>
      <x:c r="T117" s="225"/>
      <x:c r="U117" s="217"/>
      <x:c r="V117" s="203"/>
      <x:c r="W117" s="162" t="str">
        <x:f t="shared" si="499"/>
        <x:v/>
      </x:c>
      <x:c r="X117" s="217"/>
      <x:c r="Y117" s="45"/>
      <x:c r="Z117" s="508" t="str">
        <x:f t="shared" si="500"/>
        <x:v/>
      </x:c>
      <x:c r="AA117" s="508" t="str">
        <x:f t="shared" si="501"/>
        <x:v/>
      </x:c>
      <x:c r="AB117" s="374" t="str">
        <x:f t="shared" si="502"/>
        <x:v/>
      </x:c>
      <x:c r="AC117" s="46"/>
      <x:c r="AD117" s="508" t="str">
        <x:f t="shared" si="503"/>
        <x:v/>
      </x:c>
      <x:c r="AE117" s="508" t="str">
        <x:f t="shared" si="504"/>
        <x:v/>
      </x:c>
      <x:c r="AF117" s="374" t="str">
        <x:f t="shared" si="505"/>
        <x:v/>
      </x:c>
      <x:c r="AG117" s="46"/>
      <x:c r="AH117" s="374" t="str">
        <x:f>IF(AK117="","",IF($W117="도비","-",CONCATENATE(AK117,"-",COUNTIF(AK$7:$AK117,AK117))))</x:f>
        <x:v/>
      </x:c>
      <x:c r="AI117" s="374" t="str">
        <x:f t="shared" si="506"/>
        <x:v/>
      </x:c>
      <x:c r="AJ117" s="46"/>
      <x:c r="AK117" s="374" t="str">
        <x:f t="array" ref="AK117:AK117">IF(OR($D117="",$C117="직접입력",$B117="직접입력"),"",INDEX(구분표!$I$2:$I$337,MATCH(1,(구분표!$G$2:$G$337='5. 기입'!$B117)*(구분표!$E$2:$E$337='5. 기입'!$C117)*(구분표!$F$2:$F$337='5. 기입'!$D117),0)))</x:f>
        <x:v/>
      </x:c>
      <x:c r="AL117" s="47"/>
      <x:c r="AM117" s="472" t="str">
        <x:f>IF($AH117="","",IF($AH117="-",0,SUMIFS('5. 기출'!$AB$7:$AB$2012,'5. 기출'!$AJ$7:$AJ$2012,$AH117)))</x:f>
        <x:v/>
      </x:c>
      <x:c r="AN117" s="377" t="str">
        <x:f>IF($AH117="","",IF($AH117="-",0,COUNTIF('5. 기출'!$AJ$7:$AJ$2012,$AH117)))</x:f>
        <x:v/>
      </x:c>
      <x:c r="AO117" s="374" t="str">
        <x:f t="shared" si="507"/>
        <x:v/>
      </x:c>
      <x:c r="AP117" s="47"/>
      <x:c r="AQ117" s="472" t="str">
        <x:f>IF($AH117="","",IF($AH117="-",0,SUMIFS('5. 기출'!$AF$7:$AF$2012,'5. 기출'!$AJ$7:$AJ$2012,$AH117)))</x:f>
        <x:v/>
      </x:c>
      <x:c r="AR117" s="377" t="str">
        <x:f>IF($AH117="","",IF($AH117="-",0,COUNTIF('5. 기출'!$AJ$7:$AJ$2012,$AH117)))</x:f>
        <x:v/>
      </x:c>
      <x:c r="AS117" s="374" t="str">
        <x:f t="shared" si="508"/>
        <x:v/>
      </x:c>
    </x:row>
    <x:row r="118" spans="1:45" ht="79.5" customHeight="1">
      <x:c r="A118" s="155" t="str">
        <x:f>IF(D118="","",COUNTA($C$7:C118)-COUNTBLANK($C$7:C118)+28)</x:f>
        <x:v/>
      </x:c>
      <x:c r="B118" s="156" t="str">
        <x: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x:f>
        <x:v/>
      </x:c>
      <x:c r="C118" s="156" t="str">
        <x:f>IF(D118="","",IF(OR(D118="교육지원과",D118="총무과",D118="인사과"),"직접입력",VLOOKUP(D118,구분표!$A$3:$C$258,3,)))</x:f>
        <x:v/>
      </x:c>
      <x:c r="D118" s="226"/>
      <x:c r="E118" s="213"/>
      <x:c r="F118" s="388" t="str">
        <x:f t="shared" si="509"/>
        <x:v/>
      </x:c>
      <x:c r="G118" s="388" t="str">
        <x:f t="shared" si="509"/>
        <x:v/>
      </x:c>
      <x:c r="H118" s="214"/>
      <x:c r="I118" s="237" t="str">
        <x:f>IF(H118="","",VLOOKUP($H118,구분표!$O$3:$P$168,2,FALSE))</x:f>
        <x:v/>
      </x:c>
      <x:c r="J118" s="215"/>
      <x:c r="K118" s="459" t="str">
        <x:f t="shared" si="510"/>
        <x:v/>
      </x:c>
      <x:c r="L118" s="459" t="str">
        <x:f t="shared" si="511"/>
        <x:v/>
      </x:c>
      <x:c r="M118" s="461" t="str">
        <x:f t="shared" si="495"/>
        <x:v/>
      </x:c>
      <x:c r="N118" s="460"/>
      <x:c r="O118" s="461">
        <x:f t="shared" si="496"/>
        <x:v>0</x:v>
      </x:c>
      <x:c r="P118" s="462"/>
      <x:c r="Q118" s="463">
        <x:f t="shared" si="497"/>
        <x:v>0</x:v>
      </x:c>
      <x:c r="R118" s="162" t="str">
        <x:f t="shared" si="498"/>
        <x:v>X</x:v>
      </x:c>
      <x:c r="S118" s="230"/>
      <x:c r="T118" s="225"/>
      <x:c r="U118" s="217"/>
      <x:c r="V118" s="203"/>
      <x:c r="W118" s="162" t="str">
        <x:f t="shared" si="499"/>
        <x:v/>
      </x:c>
      <x:c r="X118" s="217"/>
      <x:c r="Y118" s="45"/>
      <x:c r="Z118" s="508" t="str">
        <x:f t="shared" si="500"/>
        <x:v/>
      </x:c>
      <x:c r="AA118" s="508" t="str">
        <x:f t="shared" si="501"/>
        <x:v/>
      </x:c>
      <x:c r="AB118" s="374" t="str">
        <x:f t="shared" si="502"/>
        <x:v/>
      </x:c>
      <x:c r="AC118" s="46"/>
      <x:c r="AD118" s="508" t="str">
        <x:f t="shared" si="503"/>
        <x:v/>
      </x:c>
      <x:c r="AE118" s="508" t="str">
        <x:f t="shared" si="504"/>
        <x:v/>
      </x:c>
      <x:c r="AF118" s="374" t="str">
        <x:f t="shared" si="505"/>
        <x:v/>
      </x:c>
      <x:c r="AG118" s="46"/>
      <x:c r="AH118" s="374" t="str">
        <x:f>IF(AK118="","",IF($W118="도비","-",CONCATENATE(AK118,"-",COUNTIF(AK$7:$AK118,AK118))))</x:f>
        <x:v/>
      </x:c>
      <x:c r="AI118" s="374" t="str">
        <x:f t="shared" si="506"/>
        <x:v/>
      </x:c>
      <x:c r="AJ118" s="46"/>
      <x:c r="AK118" s="374" t="str">
        <x:f t="array" ref="AK118:AK118">IF(OR($D118="",$C118="직접입력",$B118="직접입력"),"",INDEX(구분표!$I$2:$I$337,MATCH(1,(구분표!$G$2:$G$337='5. 기입'!$B118)*(구분표!$E$2:$E$337='5. 기입'!$C118)*(구분표!$F$2:$F$337='5. 기입'!$D118),0)))</x:f>
        <x:v/>
      </x:c>
      <x:c r="AL118" s="47"/>
      <x:c r="AM118" s="472" t="str">
        <x:f>IF($AH118="","",IF($AH118="-",0,SUMIFS('5. 기출'!$AB$7:$AB$2012,'5. 기출'!$AJ$7:$AJ$2012,$AH118)))</x:f>
        <x:v/>
      </x:c>
      <x:c r="AN118" s="377" t="str">
        <x:f>IF($AH118="","",IF($AH118="-",0,COUNTIF('5. 기출'!$AJ$7:$AJ$2012,$AH118)))</x:f>
        <x:v/>
      </x:c>
      <x:c r="AO118" s="374" t="str">
        <x:f t="shared" si="507"/>
        <x:v/>
      </x:c>
      <x:c r="AP118" s="47"/>
      <x:c r="AQ118" s="472" t="str">
        <x:f>IF($AH118="","",IF($AH118="-",0,SUMIFS('5. 기출'!$AF$7:$AF$2012,'5. 기출'!$AJ$7:$AJ$2012,$AH118)))</x:f>
        <x:v/>
      </x:c>
      <x:c r="AR118" s="377" t="str">
        <x:f>IF($AH118="","",IF($AH118="-",0,COUNTIF('5. 기출'!$AJ$7:$AJ$2012,$AH118)))</x:f>
        <x:v/>
      </x:c>
      <x:c r="AS118" s="374" t="str">
        <x:f t="shared" si="508"/>
        <x:v/>
      </x:c>
    </x:row>
    <x:row r="119" spans="1:45" ht="60.75" customHeight="1">
      <x:c r="A119" s="171"/>
      <x:c r="B119" s="888" t="s">
        <x:v>1344</x:v>
      </x:c>
      <x:c r="C119" s="888"/>
      <x:c r="D119" s="888"/>
      <x:c r="E119" s="888"/>
      <x:c r="F119" s="888"/>
      <x:c r="G119" s="888"/>
      <x:c r="H119" s="79"/>
      <x:c r="I119" s="79"/>
      <x:c r="J119" s="349" t="str">
        <x:f>SUBTOTAL(3,J120:J122)&amp;"건"</x:f>
        <x:v>0건</x:v>
      </x:c>
      <x:c r="K119" s="458">
        <x:f t="shared" ref="K119:Q119" si="512">SUBTOTAL(9,K120:K122)</x:f>
        <x:v>0</x:v>
      </x:c>
      <x:c r="L119" s="458">
        <x:f t="shared" si="512"/>
        <x:v>0</x:v>
      </x:c>
      <x:c r="M119" s="458">
        <x:f t="shared" si="512"/>
        <x:v>0</x:v>
      </x:c>
      <x:c r="N119" s="458">
        <x:f t="shared" si="512"/>
        <x:v>0</x:v>
      </x:c>
      <x:c r="O119" s="458">
        <x:f t="shared" si="512"/>
        <x:v>0</x:v>
      </x:c>
      <x:c r="P119" s="458">
        <x:f t="shared" si="512"/>
        <x:v>0</x:v>
      </x:c>
      <x:c r="Q119" s="458">
        <x:f t="shared" si="512"/>
        <x:v>0</x:v>
      </x:c>
      <x:c r="R119" s="78"/>
      <x:c r="S119" s="78"/>
      <x:c r="T119" s="78"/>
      <x:c r="U119" s="78"/>
      <x:c r="V119" s="78"/>
      <x:c r="W119" s="80"/>
      <x:c r="X119" s="80"/>
      <x:c r="Y119" s="43"/>
      <x:c r="Z119" s="458">
        <x:f>SUBTOTAL(9,Z120:Z122)</x:f>
        <x:v>0</x:v>
      </x:c>
      <x:c r="AA119" s="458">
        <x:f>SUBTOTAL(9,AA120:AA122)</x:f>
        <x:v>0</x:v>
      </x:c>
      <x:c r="AB119" s="556" t="str">
        <x:f>IF(COUNTIF(AB120:AB122,"@@")&gt;0,"@@","OK")</x:f>
        <x:v>OK</x:v>
      </x:c>
      <x:c r="AC119" s="44"/>
      <x:c r="AD119" s="458">
        <x:f>SUBTOTAL(9,AD120:AD122)</x:f>
        <x:v>0</x:v>
      </x:c>
      <x:c r="AE119" s="458">
        <x:f>SUBTOTAL(9,AE120:AE122)</x:f>
        <x:v>0</x:v>
      </x:c>
      <x:c r="AF119" s="556" t="str">
        <x:f>IF(COUNTIF(AF120:AF122,"@@")&gt;0,"@@","OK")</x:f>
        <x:v>OK</x:v>
      </x:c>
      <x:c r="AG119" s="44"/>
      <x:c r="AH119" s="171"/>
      <x:c r="AI119" s="171"/>
      <x:c r="AJ119" s="44"/>
      <x:c r="AK119" s="171"/>
      <x:c r="AL119" s="44"/>
      <x:c r="AM119" s="458">
        <x:f>SUBTOTAL(9,AM120:AM122)</x:f>
        <x:v>0</x:v>
      </x:c>
      <x:c r="AN119" s="458">
        <x:f>SUBTOTAL(9,AN120:AN122)</x:f>
        <x:v>0</x:v>
      </x:c>
      <x:c r="AO119" s="556" t="str">
        <x:f>IF(COUNTIF(AO120:AO122,"@@")&gt;0,"@@","OK")</x:f>
        <x:v>OK</x:v>
      </x:c>
      <x:c r="AP119" s="44"/>
      <x:c r="AQ119" s="458">
        <x:f t="shared" ref="AQ119:AR119" si="513">SUBTOTAL(9,AQ120:AQ122)</x:f>
        <x:v>0</x:v>
      </x:c>
      <x:c r="AR119" s="458">
        <x:f t="shared" si="513"/>
        <x:v>0</x:v>
      </x:c>
      <x:c r="AS119" s="556" t="str">
        <x:f>IF(COUNTIF(AS120:AS122,"@@")&gt;0,"@@","OK")</x:f>
        <x:v>OK</x:v>
      </x:c>
    </x:row>
    <x:row r="120" spans="1:45" ht="79.5" customHeight="1">
      <x:c r="A120" s="155" t="str">
        <x:f>IF(D120="","",COUNTA($C$7:C120)-COUNTBLANK($C$7:C120)+29)</x:f>
        <x:v/>
      </x:c>
      <x:c r="B120" s="156" t="str">
        <x: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x:f>
        <x:v/>
      </x:c>
      <x:c r="C120" s="156" t="str">
        <x:f>IF(D120="","",IF(OR(D120="교육지원과",D120="총무과",D120="인사과"),"직접입력",VLOOKUP(D120,구분표!$A$3:$C$258,3,)))</x:f>
        <x:v/>
      </x:c>
      <x:c r="D120" s="226"/>
      <x:c r="E120" s="213"/>
      <x:c r="F120" s="388" t="str">
        <x:f>IF($E120="","",IF($E120="2추","직접입력","-"))</x:f>
        <x:v/>
      </x:c>
      <x:c r="G120" s="388" t="str">
        <x:f>IF($E120="","",IF($E120="2추","직접입력","-"))</x:f>
        <x:v/>
      </x:c>
      <x:c r="H120" s="214"/>
      <x:c r="I120" s="237" t="str">
        <x:f>IF(H120="","",VLOOKUP($H120,구분표!$O$3:$P$168,2,FALSE))</x:f>
        <x:v/>
      </x:c>
      <x:c r="J120" s="215"/>
      <x:c r="K120" s="459" t="str">
        <x:f>IF($E120="","",IF(OR($E120="2추",$E120="1추",$E120="본예산"),"금액입력","-"))</x:f>
        <x:v/>
      </x:c>
      <x:c r="L120" s="459" t="str">
        <x:f>IF($E120="","",IF($E120="2추","금액입력","-"))</x:f>
        <x:v/>
      </x:c>
      <x:c r="M120" s="461" t="str">
        <x:f t="shared" ref="M120:M122" si="514">IF($E120="","",SUM(K120:L120))</x:f>
        <x:v/>
      </x:c>
      <x:c r="N120" s="460"/>
      <x:c r="O120" s="461">
        <x:f t="shared" ref="O120:O122" si="515">SUM(M120:N120)</x:f>
        <x:v>0</x:v>
      </x:c>
      <x:c r="P120" s="462"/>
      <x:c r="Q120" s="463">
        <x:f t="shared" ref="Q120:Q122" si="516">SUM(M120,P120)</x:f>
        <x:v>0</x:v>
      </x:c>
      <x:c r="R120" s="162" t="str">
        <x:f t="shared" ref="R120:R122" si="517">IF(AND((O120=0),(Q120&gt;0)),"O",IF(AND((N120&lt;0),(O120-Q120&lt;0)),"O","X"))</x:f>
        <x:v>X</x:v>
      </x:c>
      <x:c r="S120" s="230"/>
      <x:c r="T120" s="225"/>
      <x:c r="U120" s="217"/>
      <x:c r="V120" s="203"/>
      <x:c r="W120" s="162" t="str">
        <x:f t="shared" ref="W120:W122" si="518">IF($H120="","",IF(OR($H120="511-01",$H120="511-02",$H120="511-03",$H120="311-02",$H120="311-04",$H120="321-01"),"국도비","도비"))</x:f>
        <x:v/>
      </x:c>
      <x:c r="X120" s="217"/>
      <x:c r="Y120" s="45"/>
      <x:c r="Z120" s="508" t="str">
        <x:f t="shared" ref="Z120:Z122" si="519">IF($W120="","",IF($W120="국도비",$N120,0))</x:f>
        <x:v/>
      </x:c>
      <x:c r="AA120" s="508" t="str">
        <x:f t="shared" ref="AA120:AA122" si="520">IF($W120="","",IF($W120="도비",$N120,0))</x:f>
        <x:v/>
      </x:c>
      <x:c r="AB120" s="374" t="str">
        <x:f t="shared" ref="AB120:AB122" si="521">IF($W120="","",IF($N120=SUM($Z120:$AA120),"OK","@@"))</x:f>
        <x:v/>
      </x:c>
      <x:c r="AC120" s="46"/>
      <x:c r="AD120" s="508" t="str">
        <x:f t="shared" ref="AD120:AD122" si="522">IF($W120="","",IF($W120="국도비",$P120,0))</x:f>
        <x:v/>
      </x:c>
      <x:c r="AE120" s="508" t="str">
        <x:f t="shared" ref="AE120:AE122" si="523">IF($W120="","",IF($W120="도비",$P120,0))</x:f>
        <x:v/>
      </x:c>
      <x:c r="AF120" s="374" t="str">
        <x:f t="shared" ref="AF120:AF122" si="524">IF($W120="","",IF($P120=SUM($AD120:$AE120),"OK","@@"))</x:f>
        <x:v/>
      </x:c>
      <x:c r="AG120" s="46"/>
      <x:c r="AH120" s="374" t="str">
        <x:f>IF(AK120="","",IF($W120="도비","-",CONCATENATE(AK120,"-",COUNTIF(AK$7:$AK120,AK120))))</x:f>
        <x:v/>
      </x:c>
      <x:c r="AI120" s="374" t="str">
        <x:f t="shared" ref="AI120:AI122" si="525">IF($H120="","",IF($H120="511-01","국비",IF($H120="511-02","균특",IF($H120="511-03","기금",IF($H120="311-02","특교",IF($H120="311-04","소교",IF($H120="321-01","소멸","도비")))))))</x:f>
        <x:v/>
      </x:c>
      <x:c r="AJ120" s="46"/>
      <x:c r="AK120" s="374" t="str">
        <x:f t="array" ref="AK120:AK120">IF(OR($D120="",$C120="직접입력",$B120="직접입력"),"",INDEX(구분표!$I$2:$I$337,MATCH(1,(구분표!$G$2:$G$337='5. 기입'!$B120)*(구분표!$E$2:$E$337='5. 기입'!$C120)*(구분표!$F$2:$F$337='5. 기입'!$D120),0)))</x:f>
        <x:v/>
      </x:c>
      <x:c r="AL120" s="47"/>
      <x:c r="AM120" s="472" t="str">
        <x:f>IF($AH120="","",IF($AH120="-",0,SUMIFS('5. 기출'!$AB$7:$AB$2012,'5. 기출'!$AJ$7:$AJ$2012,$AH120)))</x:f>
        <x:v/>
      </x:c>
      <x:c r="AN120" s="377" t="str">
        <x:f>IF($AH120="","",IF($AH120="-",0,COUNTIF('5. 기출'!$AJ$7:$AJ$2012,$AH120)))</x:f>
        <x:v/>
      </x:c>
      <x:c r="AO120" s="374" t="str">
        <x:f t="shared" ref="AO120:AO122" si="526">IF($AH120="","",IF($Z120=$AM120,"OK","@@"))</x:f>
        <x:v/>
      </x:c>
      <x:c r="AP120" s="47"/>
      <x:c r="AQ120" s="472" t="str">
        <x:f>IF($AH120="","",IF($AH120="-",0,SUMIFS('5. 기출'!$AF$7:$AF$2012,'5. 기출'!$AJ$7:$AJ$2012,$AH120)))</x:f>
        <x:v/>
      </x:c>
      <x:c r="AR120" s="377" t="str">
        <x:f>IF($AH120="","",IF($AH120="-",0,COUNTIF('5. 기출'!$AJ$7:$AJ$2012,$AH120)))</x:f>
        <x:v/>
      </x:c>
      <x:c r="AS120" s="374" t="str">
        <x:f t="shared" ref="AS120:AS122" si="527">IF($AH120="","",IF($AD120=$AQ120,"OK","@@"))</x:f>
        <x:v/>
      </x:c>
    </x:row>
    <x:row r="121" spans="1:45" ht="79.5" customHeight="1">
      <x:c r="A121" s="155" t="str">
        <x:f>IF(D121="","",COUNTA($C$7:C121)-COUNTBLANK($C$7:C121)+29)</x:f>
        <x:v/>
      </x:c>
      <x:c r="B121" s="156" t="str">
        <x: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x:f>
        <x:v/>
      </x:c>
      <x:c r="C121" s="156" t="str">
        <x:f>IF(D121="","",IF(OR(D121="교육지원과",D121="총무과",D121="인사과"),"직접입력",VLOOKUP(D121,구분표!$A$3:$C$258,3,)))</x:f>
        <x:v/>
      </x:c>
      <x:c r="D121" s="226"/>
      <x:c r="E121" s="213"/>
      <x:c r="F121" s="388" t="str">
        <x:f t="shared" ref="F121:G122" si="528">IF($E121="","",IF($E121="2추","직접입력","-"))</x:f>
        <x:v/>
      </x:c>
      <x:c r="G121" s="388" t="str">
        <x:f t="shared" si="528"/>
        <x:v/>
      </x:c>
      <x:c r="H121" s="214"/>
      <x:c r="I121" s="237" t="str">
        <x:f>IF(H121="","",VLOOKUP($H121,구분표!$O$3:$P$168,2,FALSE))</x:f>
        <x:v/>
      </x:c>
      <x:c r="J121" s="215"/>
      <x:c r="K121" s="459" t="str">
        <x:f t="shared" ref="K121:K122" si="529">IF($E121="","",IF(OR($E121="2추",$E121="1추",$E121="본예산"),"금액입력","-"))</x:f>
        <x:v/>
      </x:c>
      <x:c r="L121" s="459" t="str">
        <x:f t="shared" ref="L121:L122" si="530">IF($E121="","",IF($E121="2추","금액입력","-"))</x:f>
        <x:v/>
      </x:c>
      <x:c r="M121" s="461" t="str">
        <x:f t="shared" si="514"/>
        <x:v/>
      </x:c>
      <x:c r="N121" s="460"/>
      <x:c r="O121" s="461">
        <x:f t="shared" si="515"/>
        <x:v>0</x:v>
      </x:c>
      <x:c r="P121" s="462"/>
      <x:c r="Q121" s="463">
        <x:f t="shared" si="516"/>
        <x:v>0</x:v>
      </x:c>
      <x:c r="R121" s="162" t="str">
        <x:f t="shared" si="517"/>
        <x:v>X</x:v>
      </x:c>
      <x:c r="S121" s="230"/>
      <x:c r="T121" s="225"/>
      <x:c r="U121" s="217"/>
      <x:c r="V121" s="203"/>
      <x:c r="W121" s="162" t="str">
        <x:f t="shared" si="518"/>
        <x:v/>
      </x:c>
      <x:c r="X121" s="217"/>
      <x:c r="Y121" s="45"/>
      <x:c r="Z121" s="508" t="str">
        <x:f t="shared" si="519"/>
        <x:v/>
      </x:c>
      <x:c r="AA121" s="508" t="str">
        <x:f t="shared" si="520"/>
        <x:v/>
      </x:c>
      <x:c r="AB121" s="374" t="str">
        <x:f t="shared" si="521"/>
        <x:v/>
      </x:c>
      <x:c r="AC121" s="46"/>
      <x:c r="AD121" s="508" t="str">
        <x:f t="shared" si="522"/>
        <x:v/>
      </x:c>
      <x:c r="AE121" s="508" t="str">
        <x:f t="shared" si="523"/>
        <x:v/>
      </x:c>
      <x:c r="AF121" s="374" t="str">
        <x:f t="shared" si="524"/>
        <x:v/>
      </x:c>
      <x:c r="AG121" s="46"/>
      <x:c r="AH121" s="374" t="str">
        <x:f>IF(AK121="","",IF($W121="도비","-",CONCATENATE(AK121,"-",COUNTIF(AK$7:$AK121,AK121))))</x:f>
        <x:v/>
      </x:c>
      <x:c r="AI121" s="374" t="str">
        <x:f t="shared" si="525"/>
        <x:v/>
      </x:c>
      <x:c r="AJ121" s="46"/>
      <x:c r="AK121" s="374" t="str">
        <x:f t="array" ref="AK121:AK121">IF(OR($D121="",$C121="직접입력",$B121="직접입력"),"",INDEX(구분표!$I$2:$I$337,MATCH(1,(구분표!$G$2:$G$337='5. 기입'!$B121)*(구분표!$E$2:$E$337='5. 기입'!$C121)*(구분표!$F$2:$F$337='5. 기입'!$D121),0)))</x:f>
        <x:v/>
      </x:c>
      <x:c r="AL121" s="47"/>
      <x:c r="AM121" s="472" t="str">
        <x:f>IF($AH121="","",IF($AH121="-",0,SUMIFS('5. 기출'!$AB$7:$AB$2012,'5. 기출'!$AJ$7:$AJ$2012,$AH121)))</x:f>
        <x:v/>
      </x:c>
      <x:c r="AN121" s="377" t="str">
        <x:f>IF($AH121="","",IF($AH121="-",0,COUNTIF('5. 기출'!$AJ$7:$AJ$2012,$AH121)))</x:f>
        <x:v/>
      </x:c>
      <x:c r="AO121" s="374" t="str">
        <x:f t="shared" si="526"/>
        <x:v/>
      </x:c>
      <x:c r="AP121" s="47"/>
      <x:c r="AQ121" s="472" t="str">
        <x:f>IF($AH121="","",IF($AH121="-",0,SUMIFS('5. 기출'!$AF$7:$AF$2012,'5. 기출'!$AJ$7:$AJ$2012,$AH121)))</x:f>
        <x:v/>
      </x:c>
      <x:c r="AR121" s="377" t="str">
        <x:f>IF($AH121="","",IF($AH121="-",0,COUNTIF('5. 기출'!$AJ$7:$AJ$2012,$AH121)))</x:f>
        <x:v/>
      </x:c>
      <x:c r="AS121" s="374" t="str">
        <x:f t="shared" si="527"/>
        <x:v/>
      </x:c>
    </x:row>
    <x:row r="122" spans="1:45" ht="79.5" customHeight="1">
      <x:c r="A122" s="155" t="str">
        <x:f>IF(D122="","",COUNTA($C$7:C122)-COUNTBLANK($C$7:C122)+29)</x:f>
        <x:v/>
      </x:c>
      <x:c r="B122" s="156" t="str">
        <x: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x:f>
        <x:v/>
      </x:c>
      <x:c r="C122" s="156" t="str">
        <x:f>IF(D122="","",IF(OR(D122="교육지원과",D122="총무과",D122="인사과"),"직접입력",VLOOKUP(D122,구분표!$A$3:$C$258,3,)))</x:f>
        <x:v/>
      </x:c>
      <x:c r="D122" s="226"/>
      <x:c r="E122" s="213"/>
      <x:c r="F122" s="388" t="str">
        <x:f t="shared" si="528"/>
        <x:v/>
      </x:c>
      <x:c r="G122" s="388" t="str">
        <x:f t="shared" si="528"/>
        <x:v/>
      </x:c>
      <x:c r="H122" s="214"/>
      <x:c r="I122" s="237" t="str">
        <x:f>IF(H122="","",VLOOKUP($H122,구분표!$O$3:$P$168,2,FALSE))</x:f>
        <x:v/>
      </x:c>
      <x:c r="J122" s="215"/>
      <x:c r="K122" s="459" t="str">
        <x:f t="shared" si="529"/>
        <x:v/>
      </x:c>
      <x:c r="L122" s="459" t="str">
        <x:f t="shared" si="530"/>
        <x:v/>
      </x:c>
      <x:c r="M122" s="461" t="str">
        <x:f t="shared" si="514"/>
        <x:v/>
      </x:c>
      <x:c r="N122" s="460"/>
      <x:c r="O122" s="461">
        <x:f t="shared" si="515"/>
        <x:v>0</x:v>
      </x:c>
      <x:c r="P122" s="462"/>
      <x:c r="Q122" s="463">
        <x:f t="shared" si="516"/>
        <x:v>0</x:v>
      </x:c>
      <x:c r="R122" s="162" t="str">
        <x:f t="shared" si="517"/>
        <x:v>X</x:v>
      </x:c>
      <x:c r="S122" s="230"/>
      <x:c r="T122" s="225"/>
      <x:c r="U122" s="217"/>
      <x:c r="V122" s="203"/>
      <x:c r="W122" s="162" t="str">
        <x:f t="shared" si="518"/>
        <x:v/>
      </x:c>
      <x:c r="X122" s="217"/>
      <x:c r="Y122" s="45"/>
      <x:c r="Z122" s="508" t="str">
        <x:f t="shared" si="519"/>
        <x:v/>
      </x:c>
      <x:c r="AA122" s="508" t="str">
        <x:f t="shared" si="520"/>
        <x:v/>
      </x:c>
      <x:c r="AB122" s="374" t="str">
        <x:f t="shared" si="521"/>
        <x:v/>
      </x:c>
      <x:c r="AC122" s="46"/>
      <x:c r="AD122" s="508" t="str">
        <x:f t="shared" si="522"/>
        <x:v/>
      </x:c>
      <x:c r="AE122" s="508" t="str">
        <x:f t="shared" si="523"/>
        <x:v/>
      </x:c>
      <x:c r="AF122" s="374" t="str">
        <x:f t="shared" si="524"/>
        <x:v/>
      </x:c>
      <x:c r="AG122" s="46"/>
      <x:c r="AH122" s="374" t="str">
        <x:f>IF(AK122="","",IF($W122="도비","-",CONCATENATE(AK122,"-",COUNTIF(AK$7:$AK122,AK122))))</x:f>
        <x:v/>
      </x:c>
      <x:c r="AI122" s="374" t="str">
        <x:f t="shared" si="525"/>
        <x:v/>
      </x:c>
      <x:c r="AJ122" s="46"/>
      <x:c r="AK122" s="374" t="str">
        <x:f t="array" ref="AK122:AK122">IF(OR($D122="",$C122="직접입력",$B122="직접입력"),"",INDEX(구분표!$I$2:$I$337,MATCH(1,(구분표!$G$2:$G$337='5. 기입'!$B122)*(구분표!$E$2:$E$337='5. 기입'!$C122)*(구분표!$F$2:$F$337='5. 기입'!$D122),0)))</x:f>
        <x:v/>
      </x:c>
      <x:c r="AL122" s="47"/>
      <x:c r="AM122" s="472" t="str">
        <x:f>IF($AH122="","",IF($AH122="-",0,SUMIFS('5. 기출'!$AB$7:$AB$2012,'5. 기출'!$AJ$7:$AJ$2012,$AH122)))</x:f>
        <x:v/>
      </x:c>
      <x:c r="AN122" s="377" t="str">
        <x:f>IF($AH122="","",IF($AH122="-",0,COUNTIF('5. 기출'!$AJ$7:$AJ$2012,$AH122)))</x:f>
        <x:v/>
      </x:c>
      <x:c r="AO122" s="374" t="str">
        <x:f t="shared" si="526"/>
        <x:v/>
      </x:c>
      <x:c r="AP122" s="47"/>
      <x:c r="AQ122" s="472" t="str">
        <x:f>IF($AH122="","",IF($AH122="-",0,SUMIFS('5. 기출'!$AF$7:$AF$2012,'5. 기출'!$AJ$7:$AJ$2012,$AH122)))</x:f>
        <x:v/>
      </x:c>
      <x:c r="AR122" s="377" t="str">
        <x:f>IF($AH122="","",IF($AH122="-",0,COUNTIF('5. 기출'!$AJ$7:$AJ$2012,$AH122)))</x:f>
        <x:v/>
      </x:c>
      <x:c r="AS122" s="374" t="str">
        <x:f t="shared" si="527"/>
        <x:v/>
      </x:c>
    </x:row>
    <x:row r="123" spans="1:45" ht="60.75" customHeight="1">
      <x:c r="A123" s="171"/>
      <x:c r="B123" s="888" t="s">
        <x:v>1293</x:v>
      </x:c>
      <x:c r="C123" s="888"/>
      <x:c r="D123" s="888"/>
      <x:c r="E123" s="888"/>
      <x:c r="F123" s="888"/>
      <x:c r="G123" s="888"/>
      <x:c r="H123" s="79"/>
      <x:c r="I123" s="79"/>
      <x:c r="J123" s="349" t="str">
        <x:f>SUBTOTAL(3,J124:J126)&amp;"건"</x:f>
        <x:v>0건</x:v>
      </x:c>
      <x:c r="K123" s="458">
        <x:f t="shared" ref="K123:Q123" si="531">SUBTOTAL(9,K124:K126)</x:f>
        <x:v>0</x:v>
      </x:c>
      <x:c r="L123" s="458">
        <x:f t="shared" si="531"/>
        <x:v>0</x:v>
      </x:c>
      <x:c r="M123" s="458">
        <x:f t="shared" si="531"/>
        <x:v>0</x:v>
      </x:c>
      <x:c r="N123" s="458">
        <x:f t="shared" si="531"/>
        <x:v>0</x:v>
      </x:c>
      <x:c r="O123" s="458">
        <x:f t="shared" si="531"/>
        <x:v>0</x:v>
      </x:c>
      <x:c r="P123" s="458">
        <x:f t="shared" si="531"/>
        <x:v>0</x:v>
      </x:c>
      <x:c r="Q123" s="458">
        <x:f t="shared" si="531"/>
        <x:v>0</x:v>
      </x:c>
      <x:c r="R123" s="78"/>
      <x:c r="S123" s="78"/>
      <x:c r="T123" s="78"/>
      <x:c r="U123" s="78"/>
      <x:c r="V123" s="78"/>
      <x:c r="W123" s="80"/>
      <x:c r="X123" s="80"/>
      <x:c r="Y123" s="43"/>
      <x:c r="Z123" s="458">
        <x:f>SUBTOTAL(9,Z124:Z126)</x:f>
        <x:v>0</x:v>
      </x:c>
      <x:c r="AA123" s="458">
        <x:f>SUBTOTAL(9,AA124:AA126)</x:f>
        <x:v>0</x:v>
      </x:c>
      <x:c r="AB123" s="556" t="str">
        <x:f>IF(COUNTIF(AB124:AB126,"@@")&gt;0,"@@","OK")</x:f>
        <x:v>OK</x:v>
      </x:c>
      <x:c r="AC123" s="44"/>
      <x:c r="AD123" s="458">
        <x:f>SUBTOTAL(9,AD124:AD126)</x:f>
        <x:v>0</x:v>
      </x:c>
      <x:c r="AE123" s="458">
        <x:f>SUBTOTAL(9,AE124:AE126)</x:f>
        <x:v>0</x:v>
      </x:c>
      <x:c r="AF123" s="556" t="str">
        <x:f>IF(COUNTIF(AF124:AF126,"@@")&gt;0,"@@","OK")</x:f>
        <x:v>OK</x:v>
      </x:c>
      <x:c r="AG123" s="44"/>
      <x:c r="AH123" s="171"/>
      <x:c r="AI123" s="171"/>
      <x:c r="AJ123" s="44"/>
      <x:c r="AK123" s="171"/>
      <x:c r="AL123" s="44"/>
      <x:c r="AM123" s="458">
        <x:f>SUBTOTAL(9,AM124:AM126)</x:f>
        <x:v>0</x:v>
      </x:c>
      <x:c r="AN123" s="458">
        <x:f>SUBTOTAL(9,AN124:AN126)</x:f>
        <x:v>0</x:v>
      </x:c>
      <x:c r="AO123" s="556" t="str">
        <x:f>IF(COUNTIF(AO124:AO126,"@@")&gt;0,"@@","OK")</x:f>
        <x:v>OK</x:v>
      </x:c>
      <x:c r="AP123" s="44"/>
      <x:c r="AQ123" s="458">
        <x:f>SUBTOTAL(9,AQ124:AQ126)</x:f>
        <x:v>0</x:v>
      </x:c>
      <x:c r="AR123" s="458">
        <x:f>SUBTOTAL(9,AR124:AR126)</x:f>
        <x:v>0</x:v>
      </x:c>
      <x:c r="AS123" s="556" t="str">
        <x:f>IF(COUNTIF(AS124:AS126,"@@")&gt;0,"@@","OK")</x:f>
        <x:v>OK</x:v>
      </x:c>
    </x:row>
    <x:row r="124" spans="1:45" ht="79.5" customHeight="1">
      <x:c r="A124" s="155" t="str">
        <x:f>IF(D124="","",COUNTA($C$7:C124)-COUNTBLANK($C$7:C124)+30)</x:f>
        <x:v/>
      </x:c>
      <x:c r="B124" s="156" t="str">
        <x: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x:f>
        <x:v/>
      </x:c>
      <x:c r="C124" s="156" t="str">
        <x:f>IF(D124="","",IF(OR(D124="교육지원과",D124="총무과",D124="인사과"),"직접입력",VLOOKUP(D124,구분표!$A$3:$C$258,3,)))</x:f>
        <x:v/>
      </x:c>
      <x:c r="D124" s="226"/>
      <x:c r="E124" s="213"/>
      <x:c r="F124" s="388" t="str">
        <x:f>IF($E124="","",IF($E124="2추","직접입력","-"))</x:f>
        <x:v/>
      </x:c>
      <x:c r="G124" s="388" t="str">
        <x:f>IF($E124="","",IF($E124="2추","직접입력","-"))</x:f>
        <x:v/>
      </x:c>
      <x:c r="H124" s="214"/>
      <x:c r="I124" s="237" t="str">
        <x:f>IF(H124="","",VLOOKUP($H124,구분표!$O$3:$P$168,2,FALSE))</x:f>
        <x:v/>
      </x:c>
      <x:c r="J124" s="215"/>
      <x:c r="K124" s="459" t="str">
        <x:f>IF($E124="","",IF(OR($E124="2추",$E124="1추",$E124="본예산"),"금액입력","-"))</x:f>
        <x:v/>
      </x:c>
      <x:c r="L124" s="459" t="str">
        <x:f>IF($E124="","",IF($E124="2추","금액입력","-"))</x:f>
        <x:v/>
      </x:c>
      <x:c r="M124" s="461" t="str">
        <x:f t="shared" ref="M124:M126" si="532">IF($E124="","",SUM(K124:L124))</x:f>
        <x:v/>
      </x:c>
      <x:c r="N124" s="460"/>
      <x:c r="O124" s="461">
        <x:f t="shared" ref="O124:O126" si="533">SUM(M124:N124)</x:f>
        <x:v>0</x:v>
      </x:c>
      <x:c r="P124" s="462"/>
      <x:c r="Q124" s="463">
        <x:f t="shared" ref="Q124:Q126" si="534">SUM(M124,P124)</x:f>
        <x:v>0</x:v>
      </x:c>
      <x:c r="R124" s="162" t="str">
        <x:f t="shared" ref="R124:R126" si="535">IF(AND((O124=0),(Q124&gt;0)),"O",IF(AND((N124&lt;0),(O124-Q124&lt;0)),"O","X"))</x:f>
        <x:v>X</x:v>
      </x:c>
      <x:c r="S124" s="230"/>
      <x:c r="T124" s="225"/>
      <x:c r="U124" s="217"/>
      <x:c r="V124" s="203"/>
      <x:c r="W124" s="162" t="str">
        <x:f t="shared" ref="W124:W126" si="536">IF($H124="","",IF(OR($H124="511-01",$H124="511-02",$H124="511-03",$H124="311-02",$H124="311-04",$H124="321-01"),"국도비","도비"))</x:f>
        <x:v/>
      </x:c>
      <x:c r="X124" s="217"/>
      <x:c r="Y124" s="45"/>
      <x:c r="Z124" s="508" t="str">
        <x:f t="shared" ref="Z124:Z126" si="537">IF($W124="","",IF($W124="국도비",$N124,0))</x:f>
        <x:v/>
      </x:c>
      <x:c r="AA124" s="508" t="str">
        <x:f t="shared" ref="AA124:AA126" si="538">IF($W124="","",IF($W124="도비",$N124,0))</x:f>
        <x:v/>
      </x:c>
      <x:c r="AB124" s="374" t="str">
        <x:f t="shared" ref="AB124:AB126" si="539">IF($W124="","",IF($N124=SUM($Z124:$AA124),"OK","@@"))</x:f>
        <x:v/>
      </x:c>
      <x:c r="AC124" s="46"/>
      <x:c r="AD124" s="508" t="str">
        <x:f t="shared" ref="AD124:AD126" si="540">IF($W124="","",IF($W124="국도비",$P124,0))</x:f>
        <x:v/>
      </x:c>
      <x:c r="AE124" s="508" t="str">
        <x:f t="shared" ref="AE124:AE126" si="541">IF($W124="","",IF($W124="도비",$P124,0))</x:f>
        <x:v/>
      </x:c>
      <x:c r="AF124" s="374" t="str">
        <x:f t="shared" ref="AF124:AF126" si="542">IF($W124="","",IF($P124=SUM($AD124:$AE124),"OK","@@"))</x:f>
        <x:v/>
      </x:c>
      <x:c r="AG124" s="46"/>
      <x:c r="AH124" s="374" t="str">
        <x:f>IF(AK124="","",IF($W124="도비","-",CONCATENATE(AK124,"-",COUNTIF(AK$7:$AK124,AK124))))</x:f>
        <x:v/>
      </x:c>
      <x:c r="AI124" s="374" t="str">
        <x:f t="shared" ref="AI124:AI126" si="543">IF($H124="","",IF($H124="511-01","국비",IF($H124="511-02","균특",IF($H124="511-03","기금",IF($H124="311-02","특교",IF($H124="311-04","소교",IF($H124="321-01","소멸","도비")))))))</x:f>
        <x:v/>
      </x:c>
      <x:c r="AJ124" s="46"/>
      <x:c r="AK124" s="374" t="str">
        <x:f t="array" ref="AK124:AK124">IF(OR($D124="",$C124="직접입력",$B124="직접입력"),"",INDEX(구분표!$I$2:$I$337,MATCH(1,(구분표!$G$2:$G$337='5. 기입'!$B124)*(구분표!$E$2:$E$337='5. 기입'!$C124)*(구분표!$F$2:$F$337='5. 기입'!$D124),0)))</x:f>
        <x:v/>
      </x:c>
      <x:c r="AL124" s="47"/>
      <x:c r="AM124" s="472" t="str">
        <x:f>IF($AH124="","",IF($AH124="-",0,SUMIFS('5. 기출'!$AB$7:$AB$2012,'5. 기출'!$AJ$7:$AJ$2012,$AH124)))</x:f>
        <x:v/>
      </x:c>
      <x:c r="AN124" s="377" t="str">
        <x:f>IF($AH124="","",IF($AH124="-",0,COUNTIF('5. 기출'!$AJ$7:$AJ$2012,$AH124)))</x:f>
        <x:v/>
      </x:c>
      <x:c r="AO124" s="374" t="str">
        <x:f t="shared" ref="AO124:AO126" si="544">IF($AH124="","",IF($Z124=$AM124,"OK","@@"))</x:f>
        <x:v/>
      </x:c>
      <x:c r="AP124" s="47"/>
      <x:c r="AQ124" s="472" t="str">
        <x:f>IF($AH124="","",IF($AH124="-",0,SUMIFS('5. 기출'!$AF$7:$AF$2012,'5. 기출'!$AJ$7:$AJ$2012,$AH124)))</x:f>
        <x:v/>
      </x:c>
      <x:c r="AR124" s="377" t="str">
        <x:f>IF($AH124="","",IF($AH124="-",0,COUNTIF('5. 기출'!$AJ$7:$AJ$2012,$AH124)))</x:f>
        <x:v/>
      </x:c>
      <x:c r="AS124" s="374" t="str">
        <x:f t="shared" ref="AS124:AS126" si="545">IF($AH124="","",IF($AD124=$AQ124,"OK","@@"))</x:f>
        <x:v/>
      </x:c>
    </x:row>
    <x:row r="125" spans="1:45" ht="79.5" customHeight="1">
      <x:c r="A125" s="155" t="str">
        <x:f>IF(D125="","",COUNTA($C$7:C125)-COUNTBLANK($C$7:C125)+30)</x:f>
        <x:v/>
      </x:c>
      <x:c r="B125" s="156" t="str">
        <x: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x:f>
        <x:v/>
      </x:c>
      <x:c r="C125" s="156" t="str">
        <x:f>IF(D125="","",IF(OR(D125="교육지원과",D125="총무과",D125="인사과"),"직접입력",VLOOKUP(D125,구분표!$A$3:$C$258,3,)))</x:f>
        <x:v/>
      </x:c>
      <x:c r="D125" s="226"/>
      <x:c r="E125" s="213"/>
      <x:c r="F125" s="388" t="str">
        <x:f t="shared" ref="F125:G126" si="546">IF($E125="","",IF($E125="2추","직접입력","-"))</x:f>
        <x:v/>
      </x:c>
      <x:c r="G125" s="388" t="str">
        <x:f t="shared" si="546"/>
        <x:v/>
      </x:c>
      <x:c r="H125" s="214"/>
      <x:c r="I125" s="237" t="str">
        <x:f>IF(H125="","",VLOOKUP($H125,구분표!$O$3:$P$168,2,FALSE))</x:f>
        <x:v/>
      </x:c>
      <x:c r="J125" s="215"/>
      <x:c r="K125" s="459" t="str">
        <x:f t="shared" ref="K125:K126" si="547">IF($E125="","",IF(OR($E125="2추",$E125="1추",$E125="본예산"),"금액입력","-"))</x:f>
        <x:v/>
      </x:c>
      <x:c r="L125" s="459" t="str">
        <x:f t="shared" ref="L125:L126" si="548">IF($E125="","",IF($E125="2추","금액입력","-"))</x:f>
        <x:v/>
      </x:c>
      <x:c r="M125" s="461" t="str">
        <x:f t="shared" si="532"/>
        <x:v/>
      </x:c>
      <x:c r="N125" s="460"/>
      <x:c r="O125" s="461">
        <x:f t="shared" si="533"/>
        <x:v>0</x:v>
      </x:c>
      <x:c r="P125" s="462"/>
      <x:c r="Q125" s="463">
        <x:f t="shared" si="534"/>
        <x:v>0</x:v>
      </x:c>
      <x:c r="R125" s="162" t="str">
        <x:f t="shared" si="535"/>
        <x:v>X</x:v>
      </x:c>
      <x:c r="S125" s="230"/>
      <x:c r="T125" s="225"/>
      <x:c r="U125" s="217"/>
      <x:c r="V125" s="203"/>
      <x:c r="W125" s="162" t="str">
        <x:f t="shared" si="536"/>
        <x:v/>
      </x:c>
      <x:c r="X125" s="217"/>
      <x:c r="Y125" s="45"/>
      <x:c r="Z125" s="508" t="str">
        <x:f t="shared" si="537"/>
        <x:v/>
      </x:c>
      <x:c r="AA125" s="508" t="str">
        <x:f t="shared" si="538"/>
        <x:v/>
      </x:c>
      <x:c r="AB125" s="374" t="str">
        <x:f t="shared" si="539"/>
        <x:v/>
      </x:c>
      <x:c r="AC125" s="46"/>
      <x:c r="AD125" s="508" t="str">
        <x:f t="shared" si="540"/>
        <x:v/>
      </x:c>
      <x:c r="AE125" s="508" t="str">
        <x:f t="shared" si="541"/>
        <x:v/>
      </x:c>
      <x:c r="AF125" s="374" t="str">
        <x:f t="shared" si="542"/>
        <x:v/>
      </x:c>
      <x:c r="AG125" s="46"/>
      <x:c r="AH125" s="374" t="str">
        <x:f>IF(AK125="","",IF($W125="도비","-",CONCATENATE(AK125,"-",COUNTIF(AK$7:$AK125,AK125))))</x:f>
        <x:v/>
      </x:c>
      <x:c r="AI125" s="374" t="str">
        <x:f t="shared" si="543"/>
        <x:v/>
      </x:c>
      <x:c r="AJ125" s="46"/>
      <x:c r="AK125" s="374" t="str">
        <x:f t="array" ref="AK125:AK125">IF(OR($D125="",$C125="직접입력",$B125="직접입력"),"",INDEX(구분표!$I$2:$I$337,MATCH(1,(구분표!$G$2:$G$337='5. 기입'!$B125)*(구분표!$E$2:$E$337='5. 기입'!$C125)*(구분표!$F$2:$F$337='5. 기입'!$D125),0)))</x:f>
        <x:v/>
      </x:c>
      <x:c r="AL125" s="47"/>
      <x:c r="AM125" s="472" t="str">
        <x:f>IF($AH125="","",IF($AH125="-",0,SUMIFS('5. 기출'!$AB$7:$AB$2012,'5. 기출'!$AJ$7:$AJ$2012,$AH125)))</x:f>
        <x:v/>
      </x:c>
      <x:c r="AN125" s="377" t="str">
        <x:f>IF($AH125="","",IF($AH125="-",0,COUNTIF('5. 기출'!$AJ$7:$AJ$2012,$AH125)))</x:f>
        <x:v/>
      </x:c>
      <x:c r="AO125" s="374" t="str">
        <x:f t="shared" si="544"/>
        <x:v/>
      </x:c>
      <x:c r="AP125" s="47"/>
      <x:c r="AQ125" s="472" t="str">
        <x:f>IF($AH125="","",IF($AH125="-",0,SUMIFS('5. 기출'!$AF$7:$AF$2012,'5. 기출'!$AJ$7:$AJ$2012,$AH125)))</x:f>
        <x:v/>
      </x:c>
      <x:c r="AR125" s="377" t="str">
        <x:f>IF($AH125="","",IF($AH125="-",0,COUNTIF('5. 기출'!$AJ$7:$AJ$2012,$AH125)))</x:f>
        <x:v/>
      </x:c>
      <x:c r="AS125" s="374" t="str">
        <x:f t="shared" si="545"/>
        <x:v/>
      </x:c>
    </x:row>
    <x:row r="126" spans="1:45" ht="79.5" customHeight="1">
      <x:c r="A126" s="155" t="str">
        <x:f>IF(D126="","",COUNTA($C$7:C126)-COUNTBLANK($C$7:C126)+30)</x:f>
        <x:v/>
      </x:c>
      <x:c r="B126" s="156" t="str">
        <x: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x:f>
        <x:v/>
      </x:c>
      <x:c r="C126" s="156" t="str">
        <x:f>IF(D126="","",IF(OR(D126="교육지원과",D126="총무과",D126="인사과"),"직접입력",VLOOKUP(D126,구분표!$A$3:$C$258,3,)))</x:f>
        <x:v/>
      </x:c>
      <x:c r="D126" s="226"/>
      <x:c r="E126" s="213"/>
      <x:c r="F126" s="388" t="str">
        <x:f t="shared" si="546"/>
        <x:v/>
      </x:c>
      <x:c r="G126" s="388" t="str">
        <x:f t="shared" si="546"/>
        <x:v/>
      </x:c>
      <x:c r="H126" s="214"/>
      <x:c r="I126" s="237" t="str">
        <x:f>IF(H126="","",VLOOKUP($H126,구분표!$O$3:$P$168,2,FALSE))</x:f>
        <x:v/>
      </x:c>
      <x:c r="J126" s="215"/>
      <x:c r="K126" s="459" t="str">
        <x:f t="shared" si="547"/>
        <x:v/>
      </x:c>
      <x:c r="L126" s="459" t="str">
        <x:f t="shared" si="548"/>
        <x:v/>
      </x:c>
      <x:c r="M126" s="461" t="str">
        <x:f t="shared" si="532"/>
        <x:v/>
      </x:c>
      <x:c r="N126" s="460"/>
      <x:c r="O126" s="461">
        <x:f t="shared" si="533"/>
        <x:v>0</x:v>
      </x:c>
      <x:c r="P126" s="462"/>
      <x:c r="Q126" s="463">
        <x:f t="shared" si="534"/>
        <x:v>0</x:v>
      </x:c>
      <x:c r="R126" s="162" t="str">
        <x:f t="shared" si="535"/>
        <x:v>X</x:v>
      </x:c>
      <x:c r="S126" s="230"/>
      <x:c r="T126" s="225"/>
      <x:c r="U126" s="217"/>
      <x:c r="V126" s="203"/>
      <x:c r="W126" s="162" t="str">
        <x:f t="shared" si="536"/>
        <x:v/>
      </x:c>
      <x:c r="X126" s="217"/>
      <x:c r="Y126" s="45"/>
      <x:c r="Z126" s="508" t="str">
        <x:f t="shared" si="537"/>
        <x:v/>
      </x:c>
      <x:c r="AA126" s="508" t="str">
        <x:f t="shared" si="538"/>
        <x:v/>
      </x:c>
      <x:c r="AB126" s="374" t="str">
        <x:f t="shared" si="539"/>
        <x:v/>
      </x:c>
      <x:c r="AC126" s="46"/>
      <x:c r="AD126" s="508" t="str">
        <x:f t="shared" si="540"/>
        <x:v/>
      </x:c>
      <x:c r="AE126" s="508" t="str">
        <x:f t="shared" si="541"/>
        <x:v/>
      </x:c>
      <x:c r="AF126" s="374" t="str">
        <x:f t="shared" si="542"/>
        <x:v/>
      </x:c>
      <x:c r="AG126" s="46"/>
      <x:c r="AH126" s="374" t="str">
        <x:f>IF(AK126="","",IF($W126="도비","-",CONCATENATE(AK126,"-",COUNTIF(AK$7:$AK126,AK126))))</x:f>
        <x:v/>
      </x:c>
      <x:c r="AI126" s="374" t="str">
        <x:f t="shared" si="543"/>
        <x:v/>
      </x:c>
      <x:c r="AJ126" s="46"/>
      <x:c r="AK126" s="374" t="str">
        <x:f t="array" ref="AK126:AK126">IF(OR($D126="",$C126="직접입력",$B126="직접입력"),"",INDEX(구분표!$I$2:$I$337,MATCH(1,(구분표!$G$2:$G$337='5. 기입'!$B126)*(구분표!$E$2:$E$337='5. 기입'!$C126)*(구분표!$F$2:$F$337='5. 기입'!$D126),0)))</x:f>
        <x:v/>
      </x:c>
      <x:c r="AL126" s="47"/>
      <x:c r="AM126" s="472" t="str">
        <x:f>IF($AH126="","",IF($AH126="-",0,SUMIFS('5. 기출'!$AB$7:$AB$2012,'5. 기출'!$AJ$7:$AJ$2012,$AH126)))</x:f>
        <x:v/>
      </x:c>
      <x:c r="AN126" s="377" t="str">
        <x:f>IF($AH126="","",IF($AH126="-",0,COUNTIF('5. 기출'!$AJ$7:$AJ$2012,$AH126)))</x:f>
        <x:v/>
      </x:c>
      <x:c r="AO126" s="374" t="str">
        <x:f t="shared" si="544"/>
        <x:v/>
      </x:c>
      <x:c r="AP126" s="47"/>
      <x:c r="AQ126" s="472" t="str">
        <x:f>IF($AH126="","",IF($AH126="-",0,SUMIFS('5. 기출'!$AF$7:$AF$2012,'5. 기출'!$AJ$7:$AJ$2012,$AH126)))</x:f>
        <x:v/>
      </x:c>
      <x:c r="AR126" s="377" t="str">
        <x:f>IF($AH126="","",IF($AH126="-",0,COUNTIF('5. 기출'!$AJ$7:$AJ$2012,$AH126)))</x:f>
        <x:v/>
      </x:c>
      <x:c r="AS126" s="374" t="str">
        <x:f t="shared" si="545"/>
        <x:v/>
      </x:c>
    </x:row>
    <x:row r="127" spans="1:45" customHeight="1">
      <x:c r="A127" s="44"/>
      <x:c r="B127" s="51"/>
      <x:c r="C127" s="51"/>
      <x:c r="D127" s="51"/>
      <x:c r="E127" s="51"/>
      <x:c r="H127" s="44"/>
      <x:c r="I127" s="44"/>
      <x:c r="J127" s="44"/>
      <x:c r="K127" s="44"/>
      <x:c r="L127" s="44"/>
      <x:c r="M127" s="489"/>
      <x:c r="N127" s="489"/>
      <x:c r="O127" s="489"/>
      <x:c r="P127" s="489"/>
      <x:c r="Q127" s="489"/>
      <x:c r="R127" s="44"/>
      <x:c r="S127" s="44"/>
      <x:c r="T127" s="44"/>
      <x:c r="U127" s="44"/>
      <x:c r="V127" s="44"/>
      <x:c r="W127" s="51"/>
      <x:c r="X127" s="63"/>
      <x:c r="Y127" s="44"/>
      <x:c r="Z127" s="489"/>
      <x:c r="AA127" s="489"/>
      <x:c r="AB127" s="44"/>
      <x:c r="AC127" s="44"/>
      <x:c r="AD127" s="489"/>
      <x:c r="AE127" s="489"/>
      <x:c r="AF127" s="44"/>
      <x:c r="AG127" s="44"/>
      <x:c r="AH127" s="44"/>
      <x:c r="AI127" s="44"/>
      <x:c r="AJ127" s="44"/>
      <x:c r="AK127" s="44"/>
      <x:c r="AL127" s="44"/>
      <x:c r="AM127" s="489"/>
      <x:c r="AN127" s="44"/>
      <x:c r="AO127" s="44"/>
      <x:c r="AP127" s="44"/>
      <x:c r="AQ127" s="489"/>
      <x:c r="AR127" s="44"/>
      <x:c r="AS127" s="44"/>
    </x:row>
    <x:row r="128" spans="1:45" customHeight="1">
      <x:c r="A128" s="44"/>
      <x:c r="B128" s="51"/>
      <x:c r="C128" s="51"/>
      <x:c r="D128" s="51"/>
      <x:c r="E128" s="51"/>
      <x:c r="H128" s="44"/>
      <x:c r="I128" s="44"/>
      <x:c r="J128" s="44"/>
      <x:c r="K128" s="44"/>
      <x:c r="L128" s="44"/>
      <x:c r="M128" s="489"/>
      <x:c r="N128" s="489"/>
      <x:c r="O128" s="489"/>
      <x:c r="P128" s="489"/>
      <x:c r="Q128" s="489"/>
      <x:c r="R128" s="44"/>
      <x:c r="S128" s="44"/>
      <x:c r="T128" s="44"/>
      <x:c r="U128" s="44"/>
      <x:c r="V128" s="44"/>
      <x:c r="W128" s="51"/>
      <x:c r="X128" s="63"/>
      <x:c r="Y128" s="44"/>
      <x:c r="Z128" s="489"/>
      <x:c r="AA128" s="489"/>
      <x:c r="AB128" s="44"/>
      <x:c r="AC128" s="44"/>
      <x:c r="AD128" s="489"/>
      <x:c r="AE128" s="489"/>
      <x:c r="AF128" s="44"/>
      <x:c r="AG128" s="44"/>
      <x:c r="AH128" s="44"/>
      <x:c r="AI128" s="44"/>
      <x:c r="AJ128" s="44"/>
      <x:c r="AK128" s="44"/>
      <x:c r="AL128" s="44"/>
      <x:c r="AM128" s="489"/>
      <x:c r="AN128" s="44"/>
      <x:c r="AO128" s="44"/>
      <x:c r="AP128" s="44"/>
      <x:c r="AQ128" s="489"/>
      <x:c r="AR128" s="44"/>
      <x:c r="AS128" s="44"/>
    </x:row>
    <x:row r="129" spans="1:45" customHeight="1">
      <x:c r="A129" s="44"/>
      <x:c r="B129" s="51"/>
      <x:c r="C129" s="51"/>
      <x:c r="D129" s="51"/>
      <x:c r="E129" s="51"/>
      <x:c r="H129" s="44"/>
      <x:c r="I129" s="44"/>
      <x:c r="J129" s="44"/>
      <x:c r="K129" s="44"/>
      <x:c r="L129" s="44"/>
      <x:c r="M129" s="489"/>
      <x:c r="N129" s="489"/>
      <x:c r="O129" s="489"/>
      <x:c r="P129" s="489"/>
      <x:c r="Q129" s="489"/>
      <x:c r="R129" s="44"/>
      <x:c r="S129" s="44"/>
      <x:c r="T129" s="44"/>
      <x:c r="U129" s="44"/>
      <x:c r="V129" s="44"/>
      <x:c r="W129" s="51"/>
      <x:c r="X129" s="63"/>
      <x:c r="Y129" s="44"/>
      <x:c r="Z129" s="489"/>
      <x:c r="AA129" s="489"/>
      <x:c r="AB129" s="44"/>
      <x:c r="AC129" s="44"/>
      <x:c r="AD129" s="489"/>
      <x:c r="AE129" s="489"/>
      <x:c r="AF129" s="44"/>
      <x:c r="AG129" s="44"/>
      <x:c r="AH129" s="44"/>
      <x:c r="AI129" s="44"/>
      <x:c r="AJ129" s="44"/>
      <x:c r="AK129" s="44"/>
      <x:c r="AL129" s="44"/>
      <x:c r="AM129" s="489"/>
      <x:c r="AN129" s="44"/>
      <x:c r="AO129" s="44"/>
      <x:c r="AP129" s="44"/>
      <x:c r="AQ129" s="489"/>
      <x:c r="AR129" s="44"/>
      <x:c r="AS129" s="44"/>
    </x:row>
    <x:row r="130" spans="1:45" customHeight="1">
      <x:c r="A130" s="44"/>
      <x:c r="B130" s="51"/>
      <x:c r="C130" s="51"/>
      <x:c r="D130" s="51"/>
      <x:c r="E130" s="51"/>
      <x:c r="H130" s="44"/>
      <x:c r="I130" s="44"/>
      <x:c r="J130" s="44"/>
      <x:c r="K130" s="44"/>
      <x:c r="L130" s="44"/>
      <x:c r="M130" s="489"/>
      <x:c r="N130" s="489"/>
      <x:c r="O130" s="489"/>
      <x:c r="P130" s="489"/>
      <x:c r="Q130" s="489"/>
      <x:c r="R130" s="44"/>
      <x:c r="S130" s="44"/>
      <x:c r="T130" s="44"/>
      <x:c r="U130" s="44"/>
      <x:c r="V130" s="44"/>
      <x:c r="W130" s="51"/>
      <x:c r="X130" s="63"/>
      <x:c r="Y130" s="44"/>
      <x:c r="Z130" s="489"/>
      <x:c r="AA130" s="489"/>
      <x:c r="AB130" s="44"/>
      <x:c r="AC130" s="44"/>
      <x:c r="AD130" s="489"/>
      <x:c r="AE130" s="489"/>
      <x:c r="AF130" s="44"/>
      <x:c r="AG130" s="44"/>
      <x:c r="AH130" s="44"/>
      <x:c r="AI130" s="44"/>
      <x:c r="AJ130" s="44"/>
      <x:c r="AK130" s="44"/>
      <x:c r="AL130" s="44"/>
      <x:c r="AM130" s="489"/>
      <x:c r="AN130" s="44"/>
      <x:c r="AO130" s="44"/>
      <x:c r="AP130" s="44"/>
      <x:c r="AQ130" s="489"/>
      <x:c r="AR130" s="44"/>
      <x:c r="AS130" s="44"/>
    </x:row>
    <x:row r="131" spans="1:45" customHeight="1">
      <x:c r="A131" s="44"/>
      <x:c r="B131" s="51"/>
      <x:c r="C131" s="51"/>
      <x:c r="D131" s="51"/>
      <x:c r="E131" s="51"/>
      <x:c r="H131" s="44"/>
      <x:c r="I131" s="44"/>
      <x:c r="J131" s="44"/>
      <x:c r="K131" s="44"/>
      <x:c r="L131" s="44"/>
      <x:c r="M131" s="489"/>
      <x:c r="N131" s="489"/>
      <x:c r="O131" s="489"/>
      <x:c r="P131" s="489"/>
      <x:c r="Q131" s="489"/>
      <x:c r="R131" s="44"/>
      <x:c r="S131" s="44"/>
      <x:c r="T131" s="44"/>
      <x:c r="U131" s="44"/>
      <x:c r="V131" s="44"/>
      <x:c r="W131" s="51"/>
      <x:c r="X131" s="63"/>
      <x:c r="Y131" s="44"/>
      <x:c r="Z131" s="489"/>
      <x:c r="AA131" s="489"/>
      <x:c r="AB131" s="44"/>
      <x:c r="AC131" s="44"/>
      <x:c r="AD131" s="489"/>
      <x:c r="AE131" s="489"/>
      <x:c r="AF131" s="44"/>
      <x:c r="AG131" s="44"/>
      <x:c r="AH131" s="44"/>
      <x:c r="AI131" s="44"/>
      <x:c r="AJ131" s="44"/>
      <x:c r="AK131" s="44"/>
      <x:c r="AL131" s="44"/>
      <x:c r="AM131" s="489"/>
      <x:c r="AN131" s="44"/>
      <x:c r="AO131" s="44"/>
      <x:c r="AP131" s="44"/>
      <x:c r="AQ131" s="489"/>
      <x:c r="AR131" s="44"/>
      <x:c r="AS131" s="44"/>
    </x:row>
    <x:row r="132" spans="1:45" customHeight="1">
      <x:c r="A132" s="44"/>
      <x:c r="B132" s="51"/>
      <x:c r="C132" s="51"/>
      <x:c r="D132" s="51"/>
      <x:c r="E132" s="51"/>
      <x:c r="H132" s="44"/>
      <x:c r="I132" s="44"/>
      <x:c r="J132" s="44"/>
      <x:c r="K132" s="44"/>
      <x:c r="L132" s="44"/>
      <x:c r="M132" s="489"/>
      <x:c r="N132" s="489"/>
      <x:c r="O132" s="489"/>
      <x:c r="P132" s="489"/>
      <x:c r="Q132" s="489"/>
      <x:c r="R132" s="44"/>
      <x:c r="S132" s="44"/>
      <x:c r="T132" s="44"/>
      <x:c r="U132" s="44"/>
      <x:c r="V132" s="44"/>
      <x:c r="W132" s="51"/>
      <x:c r="X132" s="63"/>
      <x:c r="Y132" s="44"/>
      <x:c r="Z132" s="489"/>
      <x:c r="AA132" s="489"/>
      <x:c r="AB132" s="44"/>
      <x:c r="AC132" s="44"/>
      <x:c r="AD132" s="489"/>
      <x:c r="AE132" s="489"/>
      <x:c r="AF132" s="44"/>
      <x:c r="AG132" s="44"/>
      <x:c r="AH132" s="44"/>
      <x:c r="AI132" s="44"/>
      <x:c r="AJ132" s="44"/>
      <x:c r="AK132" s="44"/>
      <x:c r="AL132" s="44"/>
      <x:c r="AM132" s="489"/>
      <x:c r="AN132" s="44"/>
      <x:c r="AO132" s="44"/>
      <x:c r="AP132" s="44"/>
      <x:c r="AQ132" s="489"/>
      <x:c r="AR132" s="44"/>
      <x:c r="AS132" s="44"/>
    </x:row>
    <x:row r="133" spans="1:45" customHeight="1">
      <x:c r="A133" s="44"/>
      <x:c r="B133" s="51"/>
      <x:c r="C133" s="51"/>
      <x:c r="D133" s="51"/>
      <x:c r="E133" s="51"/>
      <x:c r="H133" s="44"/>
      <x:c r="I133" s="44"/>
      <x:c r="J133" s="44"/>
      <x:c r="K133" s="44"/>
      <x:c r="L133" s="44"/>
      <x:c r="M133" s="489"/>
      <x:c r="N133" s="489"/>
      <x:c r="O133" s="489"/>
      <x:c r="P133" s="489"/>
      <x:c r="Q133" s="489"/>
      <x:c r="R133" s="44"/>
      <x:c r="S133" s="44"/>
      <x:c r="T133" s="44"/>
      <x:c r="U133" s="44"/>
      <x:c r="V133" s="44"/>
      <x:c r="W133" s="51"/>
      <x:c r="X133" s="63"/>
      <x:c r="Y133" s="44"/>
      <x:c r="Z133" s="489"/>
      <x:c r="AA133" s="489"/>
      <x:c r="AB133" s="44"/>
      <x:c r="AC133" s="44"/>
      <x:c r="AD133" s="489"/>
      <x:c r="AE133" s="489"/>
      <x:c r="AF133" s="44"/>
      <x:c r="AG133" s="44"/>
      <x:c r="AH133" s="44"/>
      <x:c r="AI133" s="44"/>
      <x:c r="AJ133" s="44"/>
      <x:c r="AK133" s="44"/>
      <x:c r="AL133" s="44"/>
      <x:c r="AM133" s="489"/>
      <x:c r="AN133" s="44"/>
      <x:c r="AO133" s="44"/>
      <x:c r="AP133" s="44"/>
      <x:c r="AQ133" s="489"/>
      <x:c r="AR133" s="44"/>
      <x:c r="AS133" s="44"/>
    </x:row>
    <x:row r="134" spans="1:45" customHeight="1">
      <x:c r="A134" s="44"/>
      <x:c r="B134" s="51"/>
      <x:c r="C134" s="51"/>
      <x:c r="D134" s="51"/>
      <x:c r="E134" s="51"/>
      <x:c r="H134" s="44"/>
      <x:c r="I134" s="44"/>
      <x:c r="J134" s="44"/>
      <x:c r="K134" s="44"/>
      <x:c r="L134" s="44"/>
      <x:c r="M134" s="489"/>
      <x:c r="N134" s="489"/>
      <x:c r="O134" s="489"/>
      <x:c r="P134" s="489"/>
      <x:c r="Q134" s="489"/>
      <x:c r="R134" s="44"/>
      <x:c r="S134" s="44"/>
      <x:c r="T134" s="44"/>
      <x:c r="U134" s="44"/>
      <x:c r="V134" s="44"/>
      <x:c r="W134" s="51"/>
      <x:c r="X134" s="63"/>
      <x:c r="Y134" s="44"/>
      <x:c r="Z134" s="489"/>
      <x:c r="AA134" s="489"/>
      <x:c r="AB134" s="44"/>
      <x:c r="AC134" s="44"/>
      <x:c r="AD134" s="489"/>
      <x:c r="AE134" s="489"/>
      <x:c r="AF134" s="44"/>
      <x:c r="AG134" s="44"/>
      <x:c r="AH134" s="44"/>
      <x:c r="AI134" s="44"/>
      <x:c r="AJ134" s="44"/>
      <x:c r="AK134" s="44"/>
      <x:c r="AL134" s="44"/>
      <x:c r="AM134" s="489"/>
      <x:c r="AN134" s="44"/>
      <x:c r="AO134" s="44"/>
      <x:c r="AP134" s="44"/>
      <x:c r="AQ134" s="489"/>
      <x:c r="AR134" s="44"/>
      <x:c r="AS134" s="44"/>
    </x:row>
    <x:row r="135" spans="1:45" customHeight="1">
      <x:c r="A135" s="44"/>
      <x:c r="B135" s="51"/>
      <x:c r="C135" s="51"/>
      <x:c r="D135" s="51"/>
      <x:c r="E135" s="51"/>
      <x:c r="H135" s="44"/>
      <x:c r="I135" s="44"/>
      <x:c r="J135" s="44"/>
      <x:c r="K135" s="44"/>
      <x:c r="L135" s="44"/>
      <x:c r="M135" s="489"/>
      <x:c r="N135" s="489"/>
      <x:c r="O135" s="489"/>
      <x:c r="P135" s="489"/>
      <x:c r="Q135" s="489"/>
      <x:c r="R135" s="44"/>
      <x:c r="S135" s="44"/>
      <x:c r="T135" s="44"/>
      <x:c r="U135" s="44"/>
      <x:c r="V135" s="44"/>
      <x:c r="W135" s="51"/>
      <x:c r="X135" s="63"/>
      <x:c r="Y135" s="44"/>
      <x:c r="Z135" s="489"/>
      <x:c r="AA135" s="489"/>
      <x:c r="AB135" s="44"/>
      <x:c r="AC135" s="44"/>
      <x:c r="AD135" s="489"/>
      <x:c r="AE135" s="489"/>
      <x:c r="AF135" s="44"/>
      <x:c r="AG135" s="44"/>
      <x:c r="AH135" s="44"/>
      <x:c r="AI135" s="44"/>
      <x:c r="AJ135" s="44"/>
      <x:c r="AK135" s="44"/>
      <x:c r="AL135" s="44"/>
      <x:c r="AM135" s="489"/>
      <x:c r="AN135" s="44"/>
      <x:c r="AO135" s="44"/>
      <x:c r="AP135" s="44"/>
      <x:c r="AQ135" s="489"/>
      <x:c r="AR135" s="44"/>
      <x:c r="AS135" s="44"/>
    </x:row>
    <x:row r="136" spans="1:45" customHeight="1">
      <x:c r="A136" s="44"/>
      <x:c r="B136" s="51"/>
      <x:c r="C136" s="51"/>
      <x:c r="D136" s="51"/>
      <x:c r="E136" s="51"/>
      <x:c r="H136" s="44"/>
      <x:c r="I136" s="44"/>
      <x:c r="J136" s="44"/>
      <x:c r="K136" s="44"/>
      <x:c r="L136" s="44"/>
      <x:c r="M136" s="489"/>
      <x:c r="N136" s="489"/>
      <x:c r="O136" s="489"/>
      <x:c r="P136" s="489"/>
      <x:c r="Q136" s="489"/>
      <x:c r="R136" s="44"/>
      <x:c r="S136" s="44"/>
      <x:c r="T136" s="44"/>
      <x:c r="U136" s="44"/>
      <x:c r="V136" s="44"/>
      <x:c r="W136" s="51"/>
      <x:c r="X136" s="63"/>
      <x:c r="Y136" s="44"/>
      <x:c r="Z136" s="489"/>
      <x:c r="AA136" s="489"/>
      <x:c r="AB136" s="44"/>
      <x:c r="AC136" s="44"/>
      <x:c r="AD136" s="489"/>
      <x:c r="AE136" s="489"/>
      <x:c r="AF136" s="44"/>
      <x:c r="AG136" s="44"/>
      <x:c r="AH136" s="44"/>
      <x:c r="AI136" s="44"/>
      <x:c r="AJ136" s="44"/>
      <x:c r="AK136" s="44"/>
      <x:c r="AL136" s="44"/>
      <x:c r="AM136" s="489"/>
      <x:c r="AN136" s="44"/>
      <x:c r="AO136" s="44"/>
      <x:c r="AP136" s="44"/>
      <x:c r="AQ136" s="489"/>
      <x:c r="AR136" s="44"/>
      <x:c r="AS136" s="44"/>
    </x:row>
    <x:row r="137" spans="1:45" customHeight="1">
      <x:c r="A137" s="44"/>
      <x:c r="B137" s="51"/>
      <x:c r="C137" s="51"/>
      <x:c r="D137" s="51"/>
      <x:c r="E137" s="51"/>
      <x:c r="H137" s="44"/>
      <x:c r="I137" s="44"/>
      <x:c r="J137" s="44"/>
      <x:c r="K137" s="44"/>
      <x:c r="L137" s="44"/>
      <x:c r="M137" s="489"/>
      <x:c r="N137" s="489"/>
      <x:c r="O137" s="489"/>
      <x:c r="P137" s="489"/>
      <x:c r="Q137" s="489"/>
      <x:c r="R137" s="44"/>
      <x:c r="S137" s="44"/>
      <x:c r="T137" s="44"/>
      <x:c r="U137" s="44"/>
      <x:c r="V137" s="44"/>
      <x:c r="W137" s="51"/>
      <x:c r="X137" s="63"/>
      <x:c r="Y137" s="44"/>
      <x:c r="Z137" s="489"/>
      <x:c r="AA137" s="489"/>
      <x:c r="AB137" s="44"/>
      <x:c r="AC137" s="44"/>
      <x:c r="AD137" s="489"/>
      <x:c r="AE137" s="489"/>
      <x:c r="AF137" s="44"/>
      <x:c r="AG137" s="44"/>
      <x:c r="AH137" s="44"/>
      <x:c r="AI137" s="44"/>
      <x:c r="AJ137" s="44"/>
      <x:c r="AK137" s="44"/>
      <x:c r="AL137" s="44"/>
      <x:c r="AM137" s="489"/>
      <x:c r="AN137" s="44"/>
      <x:c r="AO137" s="44"/>
      <x:c r="AP137" s="44"/>
      <x:c r="AQ137" s="489"/>
      <x:c r="AR137" s="44"/>
      <x:c r="AS137" s="44"/>
    </x:row>
    <x:row r="138" spans="1:45" customHeight="1">
      <x:c r="A138" s="44"/>
      <x:c r="B138" s="51"/>
      <x:c r="C138" s="51"/>
      <x:c r="D138" s="51"/>
      <x:c r="E138" s="51"/>
      <x:c r="H138" s="44"/>
      <x:c r="I138" s="44"/>
      <x:c r="J138" s="44"/>
      <x:c r="K138" s="44"/>
      <x:c r="L138" s="44"/>
      <x:c r="M138" s="489"/>
      <x:c r="N138" s="489"/>
      <x:c r="O138" s="489"/>
      <x:c r="P138" s="489"/>
      <x:c r="Q138" s="489"/>
      <x:c r="R138" s="44"/>
      <x:c r="S138" s="44"/>
      <x:c r="T138" s="44"/>
      <x:c r="U138" s="44"/>
      <x:c r="V138" s="44"/>
      <x:c r="W138" s="51"/>
      <x:c r="X138" s="63"/>
      <x:c r="Y138" s="44"/>
      <x:c r="Z138" s="489"/>
      <x:c r="AA138" s="489"/>
      <x:c r="AB138" s="44"/>
      <x:c r="AC138" s="44"/>
      <x:c r="AD138" s="489"/>
      <x:c r="AE138" s="489"/>
      <x:c r="AF138" s="44"/>
      <x:c r="AG138" s="44"/>
      <x:c r="AH138" s="44"/>
      <x:c r="AI138" s="44"/>
      <x:c r="AJ138" s="44"/>
      <x:c r="AK138" s="44"/>
      <x:c r="AL138" s="44"/>
      <x:c r="AM138" s="489"/>
      <x:c r="AN138" s="44"/>
      <x:c r="AO138" s="44"/>
      <x:c r="AP138" s="44"/>
      <x:c r="AQ138" s="489"/>
      <x:c r="AR138" s="44"/>
      <x:c r="AS138" s="44"/>
    </x:row>
    <x:row r="139" spans="24:24" customHeight="1">
      <x:c r="X139" s="63"/>
    </x:row>
    <x:row r="140" spans="24:24" customHeight="1">
      <x:c r="X140" s="63"/>
    </x:row>
    <x:row r="141" spans="24:24" customHeight="1">
      <x:c r="X141" s="63"/>
    </x:row>
    <x:row r="142" spans="24:24" customHeight="1">
      <x:c r="X142" s="63"/>
    </x:row>
    <x:row r="143" spans="24:24" customHeight="1">
      <x:c r="X143" s="63"/>
    </x:row>
    <x:row r="144" spans="24:24" customHeight="1">
      <x:c r="X144" s="63"/>
    </x:row>
    <x:row r="145" spans="24:24" customHeight="1">
      <x:c r="X145" s="63"/>
    </x:row>
    <x:row r="146" spans="24:24" customHeight="1">
      <x:c r="X146" s="63"/>
    </x:row>
    <x:row r="147" spans="24:24" customHeight="1">
      <x:c r="X147" s="63"/>
    </x:row>
    <x:row r="148" spans="24:24" customHeight="1">
      <x:c r="X148" s="63"/>
    </x:row>
    <x:row r="149" spans="24:24" customHeight="1">
      <x:c r="X149" s="65"/>
    </x:row>
    <x:row r="150" spans="24:24" customHeight="1">
      <x:c r="X150" s="65"/>
    </x:row>
    <x:row r="151" spans="24:24" customHeight="1">
      <x:c r="X151" s="65"/>
    </x:row>
    <x:row r="152" spans="24:24" customHeight="1">
      <x:c r="X152" s="65"/>
    </x:row>
    <x:row r="153" spans="24:24" customHeight="1">
      <x:c r="X153" s="65"/>
    </x:row>
    <x:row r="154" spans="24:24" customHeight="1">
      <x:c r="X154" s="65"/>
    </x:row>
    <x:row r="155" spans="24:24" customHeight="1">
      <x:c r="X155" s="65"/>
    </x:row>
    <x:row r="156" spans="24:24" customHeight="1">
      <x:c r="X156" s="65"/>
    </x:row>
    <x:row r="157" spans="24:24" customHeight="1">
      <x:c r="X157" s="65"/>
    </x:row>
    <x:row r="158" spans="24:24" customHeight="1">
      <x:c r="X158" s="65"/>
    </x:row>
    <x:row r="159" spans="24:24" customHeight="1">
      <x:c r="X159" s="65"/>
    </x:row>
    <x:row r="160" spans="24:24" customHeight="1">
      <x:c r="X160" s="64"/>
    </x:row>
    <x:row r="161" spans="24:24" customHeight="1">
      <x:c r="X161" s="63"/>
    </x:row>
    <x:row r="162" spans="24:24" customHeight="1">
      <x:c r="X162" s="63"/>
    </x:row>
    <x:row r="163" spans="24:24" customHeight="1">
      <x:c r="X163" s="63"/>
    </x:row>
    <x:row r="164" spans="24:24" customHeight="1">
      <x:c r="X164" s="63"/>
    </x:row>
    <x:row r="165" spans="24:24" customHeight="1">
      <x:c r="X165" s="63"/>
    </x:row>
    <x:row r="166" spans="24:24" customHeight="1">
      <x:c r="X166" s="63"/>
    </x:row>
    <x:row r="167" spans="24:24" customHeight="1">
      <x:c r="X167" s="63"/>
    </x:row>
    <x:row r="168" spans="24:24" customHeight="1">
      <x:c r="X168" s="63"/>
    </x:row>
    <x:row r="169" spans="24:24" customHeight="1">
      <x:c r="X169" s="63"/>
    </x:row>
    <x:row r="170" spans="24:24" customHeight="1">
      <x:c r="X170" s="63"/>
    </x:row>
    <x:row r="171" spans="24:24" customHeight="1">
      <x:c r="X171" s="63"/>
    </x:row>
    <x:row r="172" spans="24:24" customHeight="1">
      <x:c r="X172" s="63"/>
    </x:row>
    <x:row r="173" spans="24:24" customHeight="1">
      <x:c r="X173" s="63"/>
    </x:row>
    <x:row r="174" spans="24:24" customHeight="1">
      <x:c r="X174" s="63"/>
    </x:row>
    <x:row r="175" spans="24:24" customHeight="1">
      <x:c r="X175" s="63"/>
    </x:row>
    <x:row r="176" spans="24:24" customHeight="1">
      <x:c r="X176" s="63"/>
    </x:row>
    <x:row r="177" spans="24:24" customHeight="1">
      <x:c r="X177" s="63"/>
    </x:row>
    <x:row r="178" spans="24:24" customHeight="1">
      <x:c r="X178" s="63"/>
    </x:row>
    <x:row r="179" spans="24:24" customHeight="1">
      <x:c r="X179" s="63"/>
    </x:row>
    <x:row r="180" spans="24:24" customHeight="1">
      <x:c r="X180" s="63"/>
    </x:row>
    <x:row r="181" spans="24:24" customHeight="1">
      <x:c r="X181" s="63"/>
    </x:row>
    <x:row r="182" spans="24:24" customHeight="1">
      <x:c r="X182" s="63"/>
    </x:row>
    <x:row r="183" spans="24:24" customHeight="1">
      <x:c r="X183" s="63"/>
    </x:row>
    <x:row r="184" spans="24:24" customHeight="1">
      <x:c r="X184" s="63"/>
    </x:row>
    <x:row r="185" spans="24:24" customHeight="1">
      <x:c r="X185" s="63"/>
    </x:row>
    <x:row r="186" spans="24:24" customHeight="1">
      <x:c r="X186" s="63"/>
    </x:row>
    <x:row r="187" spans="24:24" customHeight="1">
      <x:c r="X187" s="63"/>
    </x:row>
    <x:row r="188" spans="24:24" customHeight="1">
      <x:c r="X188" s="63"/>
    </x:row>
    <x:row r="189" spans="24:24" customHeight="1">
      <x:c r="X189" s="63"/>
    </x:row>
    <x:row r="190" spans="24:24" customHeight="1">
      <x:c r="X190" s="63"/>
    </x:row>
    <x:row r="191" spans="24:24" customHeight="1">
      <x:c r="X191" s="63"/>
    </x:row>
    <x:row r="192" spans="24:24" customHeight="1">
      <x:c r="X192" s="63"/>
    </x:row>
    <x:row r="193" spans="24:24" customHeight="1">
      <x:c r="X193" s="63"/>
    </x:row>
    <x:row r="194" spans="24:24" customHeight="1">
      <x:c r="X194" s="63"/>
    </x:row>
    <x:row r="195" spans="24:24" customHeight="1">
      <x:c r="X195" s="63"/>
    </x:row>
    <x:row r="196" spans="24:24" customHeight="1">
      <x:c r="X196" s="63"/>
    </x:row>
    <x:row r="197" spans="24:24" customHeight="1">
      <x:c r="X197" s="63"/>
    </x:row>
    <x:row r="198" spans="24:24" customHeight="1">
      <x:c r="X198" s="63"/>
    </x:row>
    <x:row r="199" spans="24:24" customHeight="1">
      <x:c r="X199" s="63"/>
    </x:row>
    <x:row r="200" spans="24:24" customHeight="1">
      <x:c r="X200" s="63"/>
    </x:row>
    <x:row r="201" spans="24:24" customHeight="1">
      <x:c r="X201" s="63"/>
    </x:row>
    <x:row r="202" spans="24:24" customHeight="1">
      <x:c r="X202" s="63"/>
    </x:row>
    <x:row r="203" spans="24:24" customHeight="1">
      <x:c r="X203" s="63"/>
    </x:row>
    <x:row r="204" spans="24:24" customHeight="1">
      <x:c r="X204" s="63"/>
    </x:row>
    <x:row r="205" spans="24:24" customHeight="1">
      <x:c r="X205" s="63"/>
    </x:row>
    <x:row r="206" spans="24:24" customHeight="1">
      <x:c r="X206" s="63"/>
    </x:row>
    <x:row r="207" spans="24:24" customHeight="1">
      <x:c r="X207" s="63"/>
    </x:row>
    <x:row r="208" spans="24:24" customHeight="1">
      <x:c r="X208" s="63"/>
    </x:row>
    <x:row r="209" spans="24:24" customHeight="1">
      <x:c r="X209" s="63"/>
    </x:row>
    <x:row r="210" spans="24:24" customHeight="1">
      <x:c r="X210" s="63"/>
    </x:row>
    <x:row r="211" spans="24:24" customHeight="1">
      <x:c r="X211" s="66"/>
    </x:row>
    <x:row r="212" spans="24:24" customHeight="1">
      <x:c r="X212" s="63"/>
    </x:row>
    <x:row r="213" spans="24:24" customHeight="1">
      <x:c r="X213" s="63"/>
    </x:row>
    <x:row r="214" spans="24:24" customHeight="1">
      <x:c r="X214" s="63"/>
    </x:row>
    <x:row r="215" spans="24:24" customHeight="1">
      <x:c r="X215" s="63"/>
    </x:row>
    <x:row r="216" spans="24:24" customHeight="1">
      <x:c r="X216" s="63"/>
    </x:row>
    <x:row r="217" spans="24:24" customHeight="1">
      <x:c r="X217" s="63"/>
    </x:row>
    <x:row r="218" spans="24:24" customHeight="1">
      <x:c r="X218" s="63"/>
    </x:row>
    <x:row r="219" spans="24:24" customHeight="1">
      <x:c r="X219" s="63"/>
    </x:row>
    <x:row r="220" spans="24:24" customHeight="1">
      <x:c r="X220" s="63"/>
    </x:row>
    <x:row r="221" spans="24:24" customHeight="1">
      <x:c r="X221" s="63"/>
    </x:row>
    <x:row r="222" spans="24:24" customHeight="1">
      <x:c r="X222" s="63"/>
    </x:row>
    <x:row r="223" spans="24:24" customHeight="1">
      <x:c r="X223" s="63"/>
    </x:row>
    <x:row r="224" spans="24:24" customHeight="1">
      <x:c r="X224" s="63"/>
    </x:row>
    <x:row r="225" spans="24:24" customHeight="1">
      <x:c r="X225" s="63"/>
    </x:row>
    <x:row r="226" spans="24:24" customHeight="1">
      <x:c r="X226" s="63"/>
    </x:row>
    <x:row r="227" spans="24:24" customHeight="1">
      <x:c r="X227" s="63"/>
    </x:row>
    <x:row r="228" spans="24:24" customHeight="1">
      <x:c r="X228" s="63"/>
    </x:row>
    <x:row r="229" spans="24:24" customHeight="1">
      <x:c r="X229" s="63"/>
    </x:row>
    <x:row r="230" spans="24:24" customHeight="1">
      <x:c r="X230" s="63"/>
    </x:row>
    <x:row r="231" spans="24:24" customHeight="1">
      <x:c r="X231" s="64"/>
    </x:row>
    <x:row r="232" spans="24:24" customHeight="1">
      <x:c r="X232" s="67"/>
    </x:row>
    <x:row r="233" spans="24:24" customHeight="1">
      <x:c r="X233" s="68"/>
    </x:row>
    <x:row r="234" spans="24:24" customHeight="1">
      <x:c r="X234" s="63"/>
    </x:row>
    <x:row r="235" spans="24:24" customHeight="1">
      <x:c r="X235" s="68"/>
    </x:row>
    <x:row r="236" spans="24:24" customHeight="1">
      <x:c r="X236" s="63"/>
    </x:row>
    <x:row r="237" spans="24:24" customHeight="1">
      <x:c r="X237" s="63"/>
    </x:row>
    <x:row r="238" spans="24:24" customHeight="1">
      <x:c r="X238" s="63"/>
    </x:row>
    <x:row r="239" spans="24:24" customHeight="1">
      <x:c r="X239" s="67"/>
    </x:row>
    <x:row r="240" spans="24:24" customHeight="1">
      <x:c r="X240" s="67"/>
    </x:row>
    <x:row r="241" spans="24:24" customHeight="1">
      <x:c r="X241" s="67"/>
    </x:row>
    <x:row r="242" spans="24:24" customHeight="1">
      <x:c r="X242" s="67"/>
    </x:row>
    <x:row r="243" spans="24:24" customHeight="1">
      <x:c r="X243" s="63"/>
    </x:row>
    <x:row r="244" spans="24:24" customHeight="1">
      <x:c r="X244" s="67"/>
    </x:row>
    <x:row r="245" spans="24:24" customHeight="1">
      <x:c r="X245" s="63"/>
    </x:row>
    <x:row r="246" spans="24:24" customHeight="1">
      <x:c r="X246" s="68"/>
    </x:row>
    <x:row r="247" spans="24:24" customHeight="1">
      <x:c r="X247" s="67"/>
    </x:row>
    <x:row r="248" spans="24:24" customHeight="1">
      <x:c r="X248" s="68"/>
    </x:row>
    <x:row r="249" spans="24:24" customHeight="1">
      <x:c r="X249" s="68"/>
    </x:row>
    <x:row r="250" spans="24:24" customHeight="1">
      <x:c r="X250" s="67"/>
    </x:row>
    <x:row r="251" spans="24:24" customHeight="1">
      <x:c r="X251" s="67"/>
    </x:row>
    <x:row r="252" spans="24:24" customHeight="1">
      <x:c r="X252" s="67"/>
    </x:row>
    <x:row r="253" spans="24:24" customHeight="1">
      <x:c r="X253" s="67"/>
    </x:row>
    <x:row r="254" spans="24:24" customHeight="1">
      <x:c r="X254" s="68"/>
    </x:row>
    <x:row r="255" spans="24:24" customHeight="1">
      <x:c r="X255" s="68"/>
    </x:row>
    <x:row r="256" spans="24:24" customHeight="1">
      <x:c r="X256" s="68"/>
    </x:row>
    <x:row r="257" spans="24:24" customHeight="1">
      <x:c r="X257" s="68"/>
    </x:row>
    <x:row r="258" spans="24:24" customHeight="1">
      <x:c r="X258" s="68"/>
    </x:row>
    <x:row r="259" spans="24:24" customHeight="1">
      <x:c r="X259" s="68"/>
    </x:row>
    <x:row r="260" spans="24:24" customHeight="1">
      <x:c r="X260" s="68"/>
    </x:row>
    <x:row r="261" spans="24:24" customHeight="1">
      <x:c r="X261" s="63"/>
    </x:row>
    <x:row r="262" spans="24:24" customHeight="1">
      <x:c r="X262" s="63"/>
    </x:row>
    <x:row r="263" spans="24:24" customHeight="1">
      <x:c r="X263" s="68"/>
    </x:row>
    <x:row r="264" spans="24:24" customHeight="1">
      <x:c r="X264" s="67"/>
    </x:row>
    <x:row r="265" spans="24:24" customHeight="1">
      <x:c r="X265" s="64"/>
    </x:row>
    <x:row r="266" spans="24:24" customHeight="1">
      <x:c r="X266" s="63"/>
    </x:row>
    <x:row r="267" spans="24:24" customHeight="1">
      <x:c r="X267" s="63"/>
    </x:row>
    <x:row r="268" spans="24:24" customHeight="1">
      <x:c r="X268" s="63"/>
    </x:row>
    <x:row r="269" spans="24:24" customHeight="1">
      <x:c r="X269" s="63"/>
    </x:row>
    <x:row r="270" spans="24:24" customHeight="1">
      <x:c r="X270" s="63"/>
    </x:row>
    <x:row r="271" spans="24:24" customHeight="1">
      <x:c r="X271" s="63"/>
    </x:row>
    <x:row r="272" spans="24:24" customHeight="1">
      <x:c r="X272" s="63"/>
    </x:row>
    <x:row r="273" spans="24:24" customHeight="1">
      <x:c r="X273" s="63"/>
    </x:row>
    <x:row r="274" spans="24:24" customHeight="1">
      <x:c r="X274" s="63"/>
    </x:row>
    <x:row r="275" spans="24:24" customHeight="1">
      <x:c r="X275" s="63"/>
    </x:row>
    <x:row r="276" spans="24:24" customHeight="1">
      <x:c r="X276" s="63"/>
    </x:row>
    <x:row r="277" spans="24:24" customHeight="1">
      <x:c r="X277" s="63"/>
    </x:row>
    <x:row r="278" spans="24:24" customHeight="1">
      <x:c r="X278" s="63"/>
    </x:row>
    <x:row r="279" spans="24:24" customHeight="1">
      <x:c r="X279" s="66"/>
    </x:row>
    <x:row r="280" spans="24:24" customHeight="1">
      <x:c r="X280" s="63"/>
    </x:row>
    <x:row r="281" spans="24:24" customHeight="1">
      <x:c r="X281" s="63"/>
    </x:row>
    <x:row r="282" spans="24:24" customHeight="1">
      <x:c r="X282" s="63"/>
    </x:row>
    <x:row r="283" spans="24:24" customHeight="1">
      <x:c r="X283" s="63"/>
    </x:row>
    <x:row r="284" spans="24:24" customHeight="1">
      <x:c r="X284" s="63"/>
    </x:row>
    <x:row r="285" spans="24:24" customHeight="1">
      <x:c r="X285" s="63"/>
    </x:row>
    <x:row r="286" spans="24:24" customHeight="1">
      <x:c r="X286" s="63"/>
    </x:row>
    <x:row r="287" spans="24:24" customHeight="1">
      <x:c r="X287" s="63"/>
    </x:row>
    <x:row r="288" spans="24:24" customHeight="1">
      <x:c r="X288" s="63"/>
    </x:row>
    <x:row r="289" spans="24:24" customHeight="1">
      <x:c r="X289" s="63"/>
    </x:row>
    <x:row r="290" spans="24:24" customHeight="1">
      <x:c r="X290" s="63"/>
    </x:row>
    <x:row r="291" spans="24:24" customHeight="1">
      <x:c r="X291" s="63"/>
    </x:row>
    <x:row r="292" spans="24:24" customHeight="1">
      <x:c r="X292" s="63"/>
    </x:row>
    <x:row r="293" spans="24:24" customHeight="1">
      <x:c r="X293" s="63"/>
    </x:row>
    <x:row r="294" spans="24:24" customHeight="1">
      <x:c r="X294" s="63"/>
    </x:row>
    <x:row r="295" spans="24:24" customHeight="1">
      <x:c r="X295" s="63"/>
    </x:row>
    <x:row r="296" spans="24:24" customHeight="1">
      <x:c r="X296" s="64"/>
    </x:row>
    <x:row r="297" spans="24:24" customHeight="1">
      <x:c r="X297" s="63"/>
    </x:row>
    <x:row r="298" spans="24:24" customHeight="1">
      <x:c r="X298" s="63"/>
    </x:row>
    <x:row r="299" spans="24:24" customHeight="1">
      <x:c r="X299" s="63"/>
    </x:row>
    <x:row r="300" spans="24:24" customHeight="1">
      <x:c r="X300" s="63"/>
    </x:row>
    <x:row r="301" spans="24:24" customHeight="1">
      <x:c r="X301" s="63"/>
    </x:row>
    <x:row r="302" spans="24:24" customHeight="1">
      <x:c r="X302" s="63"/>
    </x:row>
    <x:row r="303" spans="24:24" customHeight="1">
      <x:c r="X303" s="63"/>
    </x:row>
    <x:row r="304" spans="24:24" customHeight="1">
      <x:c r="X304" s="63"/>
    </x:row>
    <x:row r="305" spans="24:24" customHeight="1">
      <x:c r="X305" s="63"/>
    </x:row>
    <x:row r="306" spans="24:24" customHeight="1">
      <x:c r="X306" s="63"/>
    </x:row>
    <x:row r="307" spans="24:24" customHeight="1">
      <x:c r="X307" s="63"/>
    </x:row>
    <x:row r="308" spans="24:24" customHeight="1">
      <x:c r="X308" s="63"/>
    </x:row>
    <x:row r="309" spans="24:24" customHeight="1">
      <x:c r="X309" s="63"/>
    </x:row>
    <x:row r="310" spans="24:24" customHeight="1">
      <x:c r="X310" s="63"/>
    </x:row>
    <x:row r="311" spans="24:24" customHeight="1">
      <x:c r="X311" s="63"/>
    </x:row>
    <x:row r="312" spans="24:24" customHeight="1">
      <x:c r="X312" s="63"/>
    </x:row>
    <x:row r="313" spans="24:24" customHeight="1">
      <x:c r="X313" s="63"/>
    </x:row>
    <x:row r="314" spans="24:24" customHeight="1">
      <x:c r="X314" s="63"/>
    </x:row>
    <x:row r="315" spans="24:24" customHeight="1">
      <x:c r="X315" s="63"/>
    </x:row>
    <x:row r="316" spans="24:24" customHeight="1">
      <x:c r="X316" s="63"/>
    </x:row>
    <x:row r="317" spans="24:24" customHeight="1">
      <x:c r="X317" s="63"/>
    </x:row>
    <x:row r="318" spans="24:24" customHeight="1">
      <x:c r="X318" s="63"/>
    </x:row>
    <x:row r="319" spans="24:24" customHeight="1">
      <x:c r="X319" s="63"/>
    </x:row>
    <x:row r="320" spans="24:24" customHeight="1">
      <x:c r="X320" s="63"/>
    </x:row>
    <x:row r="321" spans="24:24" customHeight="1">
      <x:c r="X321" s="63"/>
    </x:row>
    <x:row r="322" spans="24:24" customHeight="1">
      <x:c r="X322" s="63"/>
    </x:row>
    <x:row r="323" spans="24:24" customHeight="1">
      <x:c r="X323" s="63"/>
    </x:row>
    <x:row r="324" spans="24:24" customHeight="1">
      <x:c r="X324" s="63"/>
    </x:row>
    <x:row r="325" spans="24:24" customHeight="1">
      <x:c r="X325" s="63"/>
    </x:row>
    <x:row r="326" spans="24:24" customHeight="1">
      <x:c r="X326" s="63"/>
    </x:row>
    <x:row r="327" spans="24:24" customHeight="1">
      <x:c r="X327" s="63"/>
    </x:row>
    <x:row r="328" spans="24:24" customHeight="1">
      <x:c r="X328" s="63"/>
    </x:row>
    <x:row r="329" spans="24:24" customHeight="1">
      <x:c r="X329" s="63"/>
    </x:row>
    <x:row r="330" spans="24:24" customHeight="1">
      <x:c r="X330" s="63"/>
    </x:row>
    <x:row r="331" spans="24:24" customHeight="1">
      <x:c r="X331" s="63"/>
    </x:row>
    <x:row r="332" spans="24:24" customHeight="1">
      <x:c r="X332" s="63"/>
    </x:row>
    <x:row r="333" spans="24:24" customHeight="1">
      <x:c r="X333" s="63"/>
    </x:row>
    <x:row r="334" spans="24:24" customHeight="1">
      <x:c r="X334" s="63"/>
    </x:row>
    <x:row r="335" spans="24:24" customHeight="1">
      <x:c r="X335" s="63"/>
    </x:row>
    <x:row r="336" spans="24:24" customHeight="1">
      <x:c r="X336" s="63"/>
    </x:row>
    <x:row r="337" spans="24:24" customHeight="1">
      <x:c r="X337" s="63"/>
    </x:row>
    <x:row r="338" spans="24:24" customHeight="1">
      <x:c r="X338" s="63"/>
    </x:row>
    <x:row r="339" spans="24:24" customHeight="1">
      <x:c r="X339" s="63"/>
    </x:row>
    <x:row r="340" spans="24:24" customHeight="1">
      <x:c r="X340" s="63"/>
    </x:row>
    <x:row r="341" spans="24:24" customHeight="1">
      <x:c r="X341" s="63"/>
    </x:row>
    <x:row r="342" spans="24:24" customHeight="1">
      <x:c r="X342" s="63"/>
    </x:row>
    <x:row r="343" spans="24:24" customHeight="1">
      <x:c r="X343" s="63"/>
    </x:row>
    <x:row r="344" spans="24:24" customHeight="1">
      <x:c r="X344" s="63"/>
    </x:row>
    <x:row r="345" spans="24:24" customHeight="1">
      <x:c r="X345" s="63"/>
    </x:row>
    <x:row r="346" spans="24:24" customHeight="1">
      <x:c r="X346" s="63"/>
    </x:row>
    <x:row r="347" spans="24:24" customHeight="1">
      <x:c r="X347" s="63"/>
    </x:row>
    <x:row r="348" spans="24:24" customHeight="1">
      <x:c r="X348" s="63"/>
    </x:row>
    <x:row r="349" spans="24:24" customHeight="1">
      <x:c r="X349" s="63"/>
    </x:row>
    <x:row r="350" spans="24:24" customHeight="1">
      <x:c r="X350" s="63"/>
    </x:row>
    <x:row r="351" spans="24:24" customHeight="1">
      <x:c r="X351" s="63"/>
    </x:row>
    <x:row r="352" spans="24:24" customHeight="1">
      <x:c r="X352" s="63"/>
    </x:row>
    <x:row r="353" spans="24:24" customHeight="1">
      <x:c r="X353" s="63"/>
    </x:row>
    <x:row r="354" spans="24:24" customHeight="1">
      <x:c r="X354" s="63"/>
    </x:row>
    <x:row r="355" spans="24:24" customHeight="1">
      <x:c r="X355" s="63"/>
    </x:row>
    <x:row r="356" spans="24:24" customHeight="1">
      <x:c r="X356" s="63"/>
    </x:row>
    <x:row r="357" spans="24:24" customHeight="1">
      <x:c r="X357" s="63"/>
    </x:row>
    <x:row r="358" spans="24:24" customHeight="1">
      <x:c r="X358" s="63"/>
    </x:row>
    <x:row r="359" spans="24:24" customHeight="1">
      <x:c r="X359" s="63"/>
    </x:row>
    <x:row r="360" spans="24:24" customHeight="1">
      <x:c r="X360" s="63"/>
    </x:row>
    <x:row r="361" spans="24:24" customHeight="1">
      <x:c r="X361" s="63"/>
    </x:row>
    <x:row r="362" spans="24:24" customHeight="1">
      <x:c r="X362" s="63"/>
    </x:row>
    <x:row r="363" spans="24:24" customHeight="1">
      <x:c r="X363" s="63"/>
    </x:row>
    <x:row r="364" spans="24:24" customHeight="1">
      <x:c r="X364" s="63"/>
    </x:row>
    <x:row r="365" spans="24:24" customHeight="1">
      <x:c r="X365" s="63"/>
    </x:row>
    <x:row r="366" spans="24:24" customHeight="1">
      <x:c r="X366" s="63"/>
    </x:row>
    <x:row r="367" spans="24:24" customHeight="1">
      <x:c r="X367" s="63"/>
    </x:row>
    <x:row r="368" spans="24:24" customHeight="1">
      <x:c r="X368" s="63"/>
    </x:row>
    <x:row r="369" spans="24:24" customHeight="1">
      <x:c r="X369" s="63"/>
    </x:row>
    <x:row r="370" spans="24:24" customHeight="1">
      <x:c r="X370" s="63"/>
    </x:row>
    <x:row r="371" spans="24:24" customHeight="1">
      <x:c r="X371" s="63"/>
    </x:row>
    <x:row r="372" spans="24:24" customHeight="1">
      <x:c r="X372" s="63"/>
    </x:row>
    <x:row r="373" spans="24:24" customHeight="1">
      <x:c r="X373" s="63"/>
    </x:row>
    <x:row r="374" spans="24:24" customHeight="1">
      <x:c r="X374" s="63"/>
    </x:row>
    <x:row r="375" spans="24:24" customHeight="1">
      <x:c r="X375" s="63"/>
    </x:row>
    <x:row r="376" spans="24:24" customHeight="1">
      <x:c r="X376" s="63"/>
    </x:row>
    <x:row r="377" spans="24:24" customHeight="1">
      <x:c r="X377" s="63"/>
    </x:row>
    <x:row r="378" spans="24:24" customHeight="1">
      <x:c r="X378" s="63"/>
    </x:row>
    <x:row r="379" spans="24:24" customHeight="1">
      <x:c r="X379" s="63"/>
    </x:row>
    <x:row r="380" spans="24:24" customHeight="1">
      <x:c r="X380" s="63"/>
    </x:row>
    <x:row r="381" spans="24:24" customHeight="1">
      <x:c r="X381" s="63"/>
    </x:row>
    <x:row r="382" spans="24:24" customHeight="1">
      <x:c r="X382" s="63"/>
    </x:row>
    <x:row r="383" spans="24:24" customHeight="1">
      <x:c r="X383" s="63"/>
    </x:row>
    <x:row r="384" spans="24:24" customHeight="1">
      <x:c r="X384" s="63"/>
    </x:row>
    <x:row r="385" spans="24:24" customHeight="1">
      <x:c r="X385" s="63"/>
    </x:row>
    <x:row r="386" spans="24:24" customHeight="1">
      <x:c r="X386" s="63"/>
    </x:row>
    <x:row r="387" spans="24:24" customHeight="1">
      <x:c r="X387" s="63"/>
    </x:row>
    <x:row r="388" spans="24:24" customHeight="1">
      <x:c r="X388" s="63"/>
    </x:row>
    <x:row r="389" spans="24:24" customHeight="1">
      <x:c r="X389" s="63"/>
    </x:row>
    <x:row r="390" spans="24:24" customHeight="1">
      <x:c r="X390" s="63"/>
    </x:row>
    <x:row r="391" spans="24:24" customHeight="1">
      <x:c r="X391" s="63"/>
    </x:row>
    <x:row r="392" spans="24:24" customHeight="1">
      <x:c r="X392" s="63"/>
    </x:row>
    <x:row r="393" spans="24:24" customHeight="1">
      <x:c r="X393" s="63"/>
    </x:row>
    <x:row r="394" spans="24:24" customHeight="1">
      <x:c r="X394" s="63"/>
    </x:row>
    <x:row r="395" spans="24:24" customHeight="1">
      <x:c r="X395" s="63"/>
    </x:row>
    <x:row r="396" spans="24:24" customHeight="1">
      <x:c r="X396" s="63"/>
    </x:row>
    <x:row r="397" spans="24:24" customHeight="1">
      <x:c r="X397" s="63"/>
    </x:row>
    <x:row r="398" spans="24:24" customHeight="1">
      <x:c r="X398" s="63"/>
    </x:row>
    <x:row r="399" spans="24:24" customHeight="1">
      <x:c r="X399" s="63"/>
    </x:row>
    <x:row r="400" spans="24:24" customHeight="1">
      <x:c r="X400" s="63"/>
    </x:row>
    <x:row r="401" spans="24:24" customHeight="1">
      <x:c r="X401" s="63"/>
    </x:row>
    <x:row r="402" spans="24:24" customHeight="1">
      <x:c r="X402" s="63"/>
    </x:row>
    <x:row r="403" spans="24:24" customHeight="1">
      <x:c r="X403" s="63"/>
    </x:row>
    <x:row r="404" spans="24:24" customHeight="1">
      <x:c r="X404" s="63"/>
    </x:row>
    <x:row r="405" spans="24:24" customHeight="1">
      <x:c r="X405" s="63"/>
    </x:row>
    <x:row r="406" spans="24:24" customHeight="1">
      <x:c r="X406" s="63"/>
    </x:row>
    <x:row r="407" spans="24:24" customHeight="1">
      <x:c r="X407" s="63"/>
    </x:row>
    <x:row r="408" spans="24:24" customHeight="1">
      <x:c r="X408" s="63"/>
    </x:row>
    <x:row r="409" spans="24:24" customHeight="1">
      <x:c r="X409" s="63"/>
    </x:row>
    <x:row r="410" spans="24:24" customHeight="1">
      <x:c r="X410" s="63"/>
    </x:row>
    <x:row r="411" spans="24:24" customHeight="1">
      <x:c r="X411" s="63"/>
    </x:row>
    <x:row r="412" spans="24:24" customHeight="1">
      <x:c r="X412" s="63"/>
    </x:row>
    <x:row r="413" spans="24:24" customHeight="1">
      <x:c r="X413" s="63"/>
    </x:row>
    <x:row r="414" spans="24:24" customHeight="1">
      <x:c r="X414" s="63"/>
    </x:row>
    <x:row r="415" spans="24:24" customHeight="1">
      <x:c r="X415" s="66"/>
    </x:row>
    <x:row r="416" spans="24:24" customHeight="1">
      <x:c r="X416" s="66"/>
    </x:row>
    <x:row r="417" spans="24:24" customHeight="1">
      <x:c r="X417" s="63"/>
    </x:row>
    <x:row r="418" spans="24:24" customHeight="1">
      <x:c r="X418" s="64"/>
    </x:row>
    <x:row r="419" spans="24:24" customHeight="1">
      <x:c r="X419" s="63"/>
    </x:row>
    <x:row r="420" spans="24:24" customHeight="1">
      <x:c r="X420" s="63"/>
    </x:row>
    <x:row r="421" spans="24:24" customHeight="1">
      <x:c r="X421" s="63"/>
    </x:row>
    <x:row r="422" spans="24:24" customHeight="1">
      <x:c r="X422" s="63"/>
    </x:row>
    <x:row r="423" spans="24:24" customHeight="1">
      <x:c r="X423" s="63"/>
    </x:row>
    <x:row r="424" spans="24:24" customHeight="1">
      <x:c r="X424" s="63"/>
    </x:row>
    <x:row r="425" spans="24:24" customHeight="1">
      <x:c r="X425" s="63"/>
    </x:row>
    <x:row r="426" spans="24:24" customHeight="1">
      <x:c r="X426" s="63"/>
    </x:row>
    <x:row r="427" spans="24:24" customHeight="1">
      <x:c r="X427" s="63"/>
    </x:row>
    <x:row r="428" spans="24:24" customHeight="1">
      <x:c r="X428" s="63"/>
    </x:row>
    <x:row r="429" spans="24:24" customHeight="1">
      <x:c r="X429" s="63"/>
    </x:row>
    <x:row r="430" spans="24:24" customHeight="1">
      <x:c r="X430" s="63"/>
    </x:row>
    <x:row r="431" spans="24:24" customHeight="1">
      <x:c r="X431" s="63"/>
    </x:row>
    <x:row r="432" spans="24:24" customHeight="1">
      <x:c r="X432" s="63"/>
    </x:row>
    <x:row r="433" spans="24:24" customHeight="1">
      <x:c r="X433" s="63"/>
    </x:row>
    <x:row r="434" spans="24:24" customHeight="1">
      <x:c r="X434" s="63"/>
    </x:row>
    <x:row r="435" spans="24:24" customHeight="1">
      <x:c r="X435" s="63"/>
    </x:row>
    <x:row r="436" spans="24:24" customHeight="1">
      <x:c r="X436" s="63"/>
    </x:row>
    <x:row r="437" spans="24:24" customHeight="1">
      <x:c r="X437" s="63"/>
    </x:row>
    <x:row r="438" spans="24:24" customHeight="1">
      <x:c r="X438" s="63"/>
    </x:row>
    <x:row r="439" spans="24:24" customHeight="1">
      <x:c r="X439" s="63"/>
    </x:row>
    <x:row r="440" spans="24:24" customHeight="1">
      <x:c r="X440" s="63"/>
    </x:row>
    <x:row r="441" spans="24:24" customHeight="1">
      <x:c r="X441" s="63"/>
    </x:row>
    <x:row r="442" spans="24:24" customHeight="1">
      <x:c r="X442" s="63"/>
    </x:row>
    <x:row r="443" spans="24:24" customHeight="1">
      <x:c r="X443" s="63"/>
    </x:row>
    <x:row r="444" spans="24:24" customHeight="1">
      <x:c r="X444" s="63"/>
    </x:row>
    <x:row r="445" spans="24:24" customHeight="1">
      <x:c r="X445" s="63"/>
    </x:row>
    <x:row r="446" spans="24:24" customHeight="1">
      <x:c r="X446" s="63"/>
    </x:row>
    <x:row r="447" spans="24:24" customHeight="1">
      <x:c r="X447" s="63"/>
    </x:row>
    <x:row r="448" spans="24:24" customHeight="1">
      <x:c r="X448" s="63"/>
    </x:row>
    <x:row r="449" spans="24:24" customHeight="1">
      <x:c r="X449" s="63"/>
    </x:row>
    <x:row r="450" spans="24:24" customHeight="1">
      <x:c r="X450" s="63"/>
    </x:row>
    <x:row r="451" spans="24:24" customHeight="1">
      <x:c r="X451" s="63"/>
    </x:row>
    <x:row r="452" spans="24:24" customHeight="1">
      <x:c r="X452" s="63"/>
    </x:row>
    <x:row r="453" spans="24:24" customHeight="1">
      <x:c r="X453" s="63"/>
    </x:row>
    <x:row r="454" spans="24:24" customHeight="1">
      <x:c r="X454" s="63"/>
    </x:row>
    <x:row r="455" spans="24:24" customHeight="1">
      <x:c r="X455" s="63"/>
    </x:row>
    <x:row r="456" spans="24:24" customHeight="1">
      <x:c r="X456" s="63"/>
    </x:row>
    <x:row r="457" spans="24:24" customHeight="1">
      <x:c r="X457" s="63"/>
    </x:row>
    <x:row r="458" spans="24:24" customHeight="1">
      <x:c r="X458" s="63"/>
    </x:row>
    <x:row r="459" spans="24:24" customHeight="1">
      <x:c r="X459" s="63"/>
    </x:row>
    <x:row r="460" spans="24:24" customHeight="1">
      <x:c r="X460" s="63"/>
    </x:row>
    <x:row r="461" spans="24:24" customHeight="1">
      <x:c r="X461" s="63"/>
    </x:row>
    <x:row r="462" spans="24:24" customHeight="1">
      <x:c r="X462" s="63"/>
    </x:row>
    <x:row r="463" spans="24:24" customHeight="1">
      <x:c r="X463" s="63"/>
    </x:row>
    <x:row r="464" spans="24:24" customHeight="1">
      <x:c r="X464" s="63"/>
    </x:row>
    <x:row r="465" spans="24:24" customHeight="1">
      <x:c r="X465" s="63"/>
    </x:row>
    <x:row r="466" spans="24:24" customHeight="1">
      <x:c r="X466" s="63"/>
    </x:row>
    <x:row r="467" spans="24:24" customHeight="1">
      <x:c r="X467" s="63"/>
    </x:row>
    <x:row r="468" spans="24:24" customHeight="1">
      <x:c r="X468" s="63"/>
    </x:row>
    <x:row r="469" spans="24:24" customHeight="1">
      <x:c r="X469" s="63"/>
    </x:row>
    <x:row r="470" spans="24:24" customHeight="1">
      <x:c r="X470" s="63"/>
    </x:row>
    <x:row r="471" spans="24:24" customHeight="1">
      <x:c r="X471" s="63"/>
    </x:row>
    <x:row r="472" spans="24:24" customHeight="1">
      <x:c r="X472" s="63"/>
    </x:row>
    <x:row r="473" spans="24:24" customHeight="1">
      <x:c r="X473" s="63"/>
    </x:row>
    <x:row r="474" spans="24:24" customHeight="1">
      <x:c r="X474" s="63"/>
    </x:row>
    <x:row r="475" spans="24:24" customHeight="1">
      <x:c r="X475" s="63"/>
    </x:row>
    <x:row r="476" spans="24:24" customHeight="1">
      <x:c r="X476" s="63"/>
    </x:row>
    <x:row r="477" spans="24:24" customHeight="1">
      <x:c r="X477" s="66"/>
    </x:row>
    <x:row r="478" spans="24:24" customHeight="1">
      <x:c r="X478" s="63"/>
    </x:row>
    <x:row r="479" spans="24:24" customHeight="1">
      <x:c r="X479" s="63"/>
    </x:row>
    <x:row r="480" spans="24:24" customHeight="1">
      <x:c r="X480" s="63"/>
    </x:row>
    <x:row r="481" spans="24:24" customHeight="1">
      <x:c r="X481" s="64"/>
    </x:row>
    <x:row r="482" spans="24:24" customHeight="1">
      <x:c r="X482" s="63"/>
    </x:row>
    <x:row r="483" spans="24:24" customHeight="1">
      <x:c r="X483" s="63"/>
    </x:row>
    <x:row r="484" spans="24:24" customHeight="1">
      <x:c r="X484" s="63"/>
    </x:row>
    <x:row r="485" spans="24:24" customHeight="1">
      <x:c r="X485" s="63"/>
    </x:row>
    <x:row r="486" spans="24:24" customHeight="1">
      <x:c r="X486" s="63"/>
    </x:row>
    <x:row r="487" spans="24:24" customHeight="1">
      <x:c r="X487" s="63"/>
    </x:row>
    <x:row r="488" spans="24:24" customHeight="1">
      <x:c r="X488" s="63"/>
    </x:row>
    <x:row r="489" spans="24:24" customHeight="1">
      <x:c r="X489" s="63"/>
    </x:row>
    <x:row r="490" spans="24:24" customHeight="1">
      <x:c r="X490" s="63"/>
    </x:row>
    <x:row r="491" spans="24:24" customHeight="1">
      <x:c r="X491" s="63"/>
    </x:row>
    <x:row r="492" spans="24:24" customHeight="1">
      <x:c r="X492" s="63"/>
    </x:row>
    <x:row r="493" spans="24:24" customHeight="1">
      <x:c r="X493" s="63"/>
    </x:row>
    <x:row r="494" spans="24:24" customHeight="1">
      <x:c r="X494" s="63"/>
    </x:row>
    <x:row r="495" spans="24:24" customHeight="1">
      <x:c r="X495" s="63"/>
    </x:row>
    <x:row r="496" spans="24:24" customHeight="1">
      <x:c r="X496" s="63"/>
    </x:row>
    <x:row r="497" spans="24:24" customHeight="1">
      <x:c r="X497" s="63"/>
    </x:row>
    <x:row r="498" spans="24:24" customHeight="1">
      <x:c r="X498" s="63"/>
    </x:row>
    <x:row r="499" spans="24:24" customHeight="1">
      <x:c r="X499" s="63"/>
    </x:row>
    <x:row r="500" spans="24:24" customHeight="1">
      <x:c r="X500" s="63"/>
    </x:row>
    <x:row r="501" spans="24:24" customHeight="1">
      <x:c r="X501" s="63"/>
    </x:row>
    <x:row r="502" spans="24:24" customHeight="1">
      <x:c r="X502" s="63"/>
    </x:row>
    <x:row r="503" spans="24:24" customHeight="1">
      <x:c r="X503" s="63"/>
    </x:row>
    <x:row r="504" spans="24:24" customHeight="1">
      <x:c r="X504" s="63"/>
    </x:row>
    <x:row r="505" spans="24:24" customHeight="1">
      <x:c r="X505" s="63"/>
    </x:row>
    <x:row r="506" spans="24:24" customHeight="1">
      <x:c r="X506" s="63"/>
    </x:row>
    <x:row r="507" spans="24:24" customHeight="1">
      <x:c r="X507" s="63"/>
    </x:row>
    <x:row r="508" spans="24:24" customHeight="1">
      <x:c r="X508" s="63"/>
    </x:row>
    <x:row r="509" spans="24:24" customHeight="1">
      <x:c r="X509" s="63"/>
    </x:row>
    <x:row r="510" spans="24:24" customHeight="1">
      <x:c r="X510" s="63"/>
    </x:row>
    <x:row r="511" spans="24:24" customHeight="1">
      <x:c r="X511" s="63"/>
    </x:row>
    <x:row r="512" spans="24:24" customHeight="1">
      <x:c r="X512" s="63"/>
    </x:row>
    <x:row r="513" spans="24:24" customHeight="1">
      <x:c r="X513" s="63"/>
    </x:row>
    <x:row r="514" spans="24:24" customHeight="1">
      <x:c r="X514" s="63"/>
    </x:row>
    <x:row r="515" spans="24:24" customHeight="1">
      <x:c r="X515" s="63"/>
    </x:row>
    <x:row r="516" spans="24:24" customHeight="1">
      <x:c r="X516" s="63"/>
    </x:row>
    <x:row r="517" spans="24:24" customHeight="1">
      <x:c r="X517" s="63"/>
    </x:row>
    <x:row r="518" spans="24:24" customHeight="1">
      <x:c r="X518" s="63"/>
    </x:row>
    <x:row r="519" spans="24:24" customHeight="1">
      <x:c r="X519" s="63"/>
    </x:row>
    <x:row r="520" spans="24:24" customHeight="1">
      <x:c r="X520" s="63"/>
    </x:row>
    <x:row r="521" spans="24:24" customHeight="1">
      <x:c r="X521" s="63"/>
    </x:row>
    <x:row r="522" spans="24:24" customHeight="1">
      <x:c r="X522" s="63"/>
    </x:row>
    <x:row r="523" spans="24:24" customHeight="1">
      <x:c r="X523" s="63"/>
    </x:row>
    <x:row r="524" spans="24:24" customHeight="1">
      <x:c r="X524" s="63"/>
    </x:row>
    <x:row r="525" spans="24:24" customHeight="1">
      <x:c r="X525" s="63"/>
    </x:row>
    <x:row r="526" spans="24:24" customHeight="1">
      <x:c r="X526" s="63"/>
    </x:row>
    <x:row r="527" spans="24:24" customHeight="1">
      <x:c r="X527" s="64"/>
    </x:row>
    <x:row r="528" spans="24:24" customHeight="1">
      <x:c r="X528" s="63"/>
    </x:row>
    <x:row r="529" spans="24:24" customHeight="1">
      <x:c r="X529" s="63"/>
    </x:row>
    <x:row r="530" spans="24:24" customHeight="1">
      <x:c r="X530" s="63"/>
    </x:row>
    <x:row r="531" spans="24:24" customHeight="1">
      <x:c r="X531" s="63"/>
    </x:row>
    <x:row r="532" spans="24:24" customHeight="1">
      <x:c r="X532" s="63"/>
    </x:row>
    <x:row r="533" spans="24:24" customHeight="1">
      <x:c r="X533" s="63"/>
    </x:row>
    <x:row r="534" spans="24:24" customHeight="1">
      <x:c r="X534" s="63"/>
    </x:row>
    <x:row r="535" spans="24:24" customHeight="1">
      <x:c r="X535" s="63"/>
    </x:row>
    <x:row r="536" spans="24:24" customHeight="1">
      <x:c r="X536" s="63"/>
    </x:row>
    <x:row r="537" spans="24:24" customHeight="1">
      <x:c r="X537" s="63"/>
    </x:row>
    <x:row r="538" spans="24:24" customHeight="1">
      <x:c r="X538" s="63"/>
    </x:row>
    <x:row r="539" spans="24:24" customHeight="1">
      <x:c r="X539" s="63"/>
    </x:row>
    <x:row r="540" spans="24:24" customHeight="1">
      <x:c r="X540" s="63"/>
    </x:row>
    <x:row r="541" spans="24:24" customHeight="1">
      <x:c r="X541" s="63"/>
    </x:row>
    <x:row r="542" spans="24:24" customHeight="1">
      <x:c r="X542" s="63"/>
    </x:row>
    <x:row r="543" spans="24:24" customHeight="1">
      <x:c r="X543" s="63"/>
    </x:row>
    <x:row r="544" spans="24:24" customHeight="1">
      <x:c r="X544" s="63"/>
    </x:row>
    <x:row r="545" spans="24:24" customHeight="1">
      <x:c r="X545" s="63"/>
    </x:row>
    <x:row r="546" spans="24:24" customHeight="1">
      <x:c r="X546" s="63"/>
    </x:row>
    <x:row r="547" spans="24:24" customHeight="1">
      <x:c r="X547" s="63"/>
    </x:row>
    <x:row r="548" spans="24:24" customHeight="1">
      <x:c r="X548" s="63"/>
    </x:row>
    <x:row r="549" spans="24:24" customHeight="1">
      <x:c r="X549" s="63"/>
    </x:row>
    <x:row r="550" spans="24:24" customHeight="1">
      <x:c r="X550" s="63"/>
    </x:row>
    <x:row r="551" spans="24:24" customHeight="1">
      <x:c r="X551" s="63"/>
    </x:row>
    <x:row r="552" spans="24:24" customHeight="1">
      <x:c r="X552" s="63"/>
    </x:row>
    <x:row r="553" spans="24:24" customHeight="1">
      <x:c r="X553" s="63"/>
    </x:row>
    <x:row r="554" spans="24:24" customHeight="1">
      <x:c r="X554" s="63"/>
    </x:row>
    <x:row r="555" spans="24:24" customHeight="1">
      <x:c r="X555" s="63"/>
    </x:row>
    <x:row r="556" spans="24:24" customHeight="1">
      <x:c r="X556" s="63"/>
    </x:row>
    <x:row r="557" spans="24:24" customHeight="1">
      <x:c r="X557" s="63"/>
    </x:row>
    <x:row r="558" spans="24:24" customHeight="1">
      <x:c r="X558" s="63"/>
    </x:row>
    <x:row r="559" spans="24:24" customHeight="1">
      <x:c r="X559" s="63"/>
    </x:row>
    <x:row r="560" spans="24:24" customHeight="1">
      <x:c r="X560" s="63"/>
    </x:row>
    <x:row r="561" spans="24:24" customHeight="1">
      <x:c r="X561" s="63"/>
    </x:row>
    <x:row r="562" spans="24:24" customHeight="1">
      <x:c r="X562" s="63"/>
    </x:row>
    <x:row r="563" spans="24:24" customHeight="1">
      <x:c r="X563" s="63"/>
    </x:row>
    <x:row r="564" spans="24:24" customHeight="1">
      <x:c r="X564" s="63"/>
    </x:row>
    <x:row r="565" spans="24:24" customHeight="1">
      <x:c r="X565" s="63"/>
    </x:row>
    <x:row r="566" spans="24:24" customHeight="1">
      <x:c r="X566" s="64"/>
    </x:row>
    <x:row r="567" spans="24:24" customHeight="1">
      <x:c r="X567" s="63"/>
    </x:row>
    <x:row r="568" spans="24:24" customHeight="1">
      <x:c r="X568" s="63"/>
    </x:row>
    <x:row r="569" spans="24:24" customHeight="1">
      <x:c r="X569" s="63"/>
    </x:row>
    <x:row r="570" spans="24:24" customHeight="1">
      <x:c r="X570" s="63"/>
    </x:row>
    <x:row r="571" spans="24:24" customHeight="1">
      <x:c r="X571" s="63"/>
    </x:row>
    <x:row r="572" spans="24:24" customHeight="1">
      <x:c r="X572" s="63"/>
    </x:row>
    <x:row r="573" spans="24:24" customHeight="1">
      <x:c r="X573" s="63"/>
    </x:row>
    <x:row r="574" spans="24:24" customHeight="1">
      <x:c r="X574" s="63"/>
    </x:row>
    <x:row r="575" spans="24:24" customHeight="1">
      <x:c r="X575" s="63"/>
    </x:row>
    <x:row r="576" spans="24:24" customHeight="1">
      <x:c r="X576" s="63"/>
    </x:row>
    <x:row r="577" spans="24:24" customHeight="1">
      <x:c r="X577" s="63"/>
    </x:row>
    <x:row r="578" spans="24:24" customHeight="1">
      <x:c r="X578" s="63"/>
    </x:row>
    <x:row r="579" spans="24:24" customHeight="1">
      <x:c r="X579" s="63"/>
    </x:row>
    <x:row r="580" spans="24:24" customHeight="1">
      <x:c r="X580" s="63"/>
    </x:row>
    <x:row r="581" spans="24:24" customHeight="1">
      <x:c r="X581" s="63"/>
    </x:row>
    <x:row r="582" spans="24:24" customHeight="1">
      <x:c r="X582" s="63"/>
    </x:row>
    <x:row r="583" spans="24:24" customHeight="1">
      <x:c r="X583" s="63"/>
    </x:row>
    <x:row r="584" spans="24:24" customHeight="1">
      <x:c r="X584" s="63"/>
    </x:row>
    <x:row r="585" spans="24:24" customHeight="1">
      <x:c r="X585" s="63"/>
    </x:row>
    <x:row r="586" spans="24:24" customHeight="1">
      <x:c r="X586" s="63"/>
    </x:row>
    <x:row r="587" spans="24:24" customHeight="1">
      <x:c r="X587" s="63"/>
    </x:row>
    <x:row r="588" spans="24:24" customHeight="1">
      <x:c r="X588" s="63"/>
    </x:row>
    <x:row r="589" spans="24:24" customHeight="1">
      <x:c r="X589" s="63"/>
    </x:row>
    <x:row r="590" spans="24:24" customHeight="1">
      <x:c r="X590" s="63"/>
    </x:row>
    <x:row r="591" spans="24:24" customHeight="1">
      <x:c r="X591" s="63"/>
    </x:row>
    <x:row r="592" spans="24:24" customHeight="1">
      <x:c r="X592" s="63"/>
    </x:row>
    <x:row r="593" spans="24:24" customHeight="1">
      <x:c r="X593" s="63"/>
    </x:row>
    <x:row r="594" spans="24:24" customHeight="1">
      <x:c r="X594" s="63"/>
    </x:row>
    <x:row r="595" spans="24:24" customHeight="1">
      <x:c r="X595" s="63"/>
    </x:row>
    <x:row r="596" spans="24:24" customHeight="1">
      <x:c r="X596" s="63"/>
    </x:row>
    <x:row r="597" spans="24:24" customHeight="1">
      <x:c r="X597" s="63"/>
    </x:row>
    <x:row r="598" spans="24:24" customHeight="1">
      <x:c r="X598" s="63"/>
    </x:row>
    <x:row r="599" spans="24:24" customHeight="1">
      <x:c r="X599" s="63"/>
    </x:row>
    <x:row r="600" spans="24:24" customHeight="1">
      <x:c r="X600" s="63"/>
    </x:row>
    <x:row r="601" spans="24:24" customHeight="1">
      <x:c r="X601" s="63"/>
    </x:row>
    <x:row r="602" spans="24:24" customHeight="1">
      <x:c r="X602" s="63"/>
    </x:row>
    <x:row r="603" spans="24:24" customHeight="1">
      <x:c r="X603" s="63"/>
    </x:row>
    <x:row r="604" spans="24:24" customHeight="1">
      <x:c r="X604" s="63"/>
    </x:row>
    <x:row r="605" spans="24:24" customHeight="1">
      <x:c r="X605" s="63"/>
    </x:row>
    <x:row r="606" spans="24:24" customHeight="1">
      <x:c r="X606" s="63"/>
    </x:row>
    <x:row r="607" spans="24:24" customHeight="1">
      <x:c r="X607" s="63"/>
    </x:row>
    <x:row r="608" spans="24:24" customHeight="1">
      <x:c r="X608" s="63"/>
    </x:row>
    <x:row r="609" spans="24:24" customHeight="1">
      <x:c r="X609" s="66"/>
    </x:row>
    <x:row r="610" spans="24:24" customHeight="1">
      <x:c r="X610" s="63"/>
    </x:row>
    <x:row r="611" spans="24:24" customHeight="1">
      <x:c r="X611" s="63"/>
    </x:row>
    <x:row r="612" spans="24:24" customHeight="1">
      <x:c r="X612" s="63"/>
    </x:row>
    <x:row r="613" spans="24:24" customHeight="1">
      <x:c r="X613" s="63"/>
    </x:row>
    <x:row r="614" spans="24:24" customHeight="1">
      <x:c r="X614" s="63"/>
    </x:row>
    <x:row r="615" spans="24:24" customHeight="1">
      <x:c r="X615" s="63"/>
    </x:row>
    <x:row r="616" spans="24:24" customHeight="1">
      <x:c r="X616" s="63"/>
    </x:row>
    <x:row r="617" spans="24:24" customHeight="1">
      <x:c r="X617" s="63"/>
    </x:row>
    <x:row r="618" spans="24:24" customHeight="1">
      <x:c r="X618" s="63"/>
    </x:row>
    <x:row r="619" spans="24:24" customHeight="1">
      <x:c r="X619" s="63"/>
    </x:row>
    <x:row r="620" spans="24:24" customHeight="1">
      <x:c r="X620" s="63"/>
    </x:row>
    <x:row r="621" spans="24:24" customHeight="1">
      <x:c r="X621" s="63"/>
    </x:row>
    <x:row r="622" spans="24:24" customHeight="1">
      <x:c r="X622" s="63"/>
    </x:row>
    <x:row r="623" spans="24:24" customHeight="1">
      <x:c r="X623" s="37"/>
    </x:row>
    <x:row r="624" spans="24:24" customHeight="1">
      <x:c r="X624" s="37"/>
    </x:row>
    <x:row r="625" spans="24:24" customHeight="1">
      <x:c r="X625" s="37"/>
    </x:row>
    <x:row r="626" spans="24:24" customHeight="1">
      <x:c r="X626" s="37"/>
    </x:row>
    <x:row r="627" spans="24:24" customHeight="1">
      <x:c r="X627" s="37"/>
    </x:row>
    <x:row r="628" spans="24:24" customHeight="1">
      <x:c r="X628" s="37"/>
    </x:row>
    <x:row r="629" spans="24:24" customHeight="1">
      <x:c r="X629" s="37"/>
    </x:row>
    <x:row r="630" spans="24:24" customHeight="1">
      <x:c r="X630" s="37"/>
    </x:row>
    <x:row r="631" spans="24:24" customHeight="1">
      <x:c r="X631" s="37"/>
    </x:row>
    <x:row r="632" spans="24:24" customHeight="1">
      <x:c r="X632" s="37"/>
    </x:row>
    <x:row r="633" spans="24:24" customHeight="1">
      <x:c r="X633" s="37"/>
    </x:row>
    <x:row r="634" spans="24:24" customHeight="1">
      <x:c r="X634" s="37"/>
    </x:row>
    <x:row r="635" spans="24:24" customHeight="1">
      <x:c r="X635" s="37"/>
    </x:row>
    <x:row r="636" spans="24:24" customHeight="1">
      <x:c r="X636" s="37"/>
    </x:row>
    <x:row r="637" spans="24:24" customHeight="1">
      <x:c r="X637" s="37"/>
    </x:row>
    <x:row r="638" spans="24:24" customHeight="1">
      <x:c r="X638" s="37"/>
    </x:row>
    <x:row r="639" spans="24:24" customHeight="1">
      <x:c r="X639" s="37"/>
    </x:row>
    <x:row r="640" spans="24:24" customHeight="1">
      <x:c r="X640" s="44"/>
    </x:row>
    <x:row r="641" spans="24:24" customHeight="1">
      <x:c r="X641" s="44"/>
    </x:row>
    <x:row r="642" spans="24:24" customHeight="1">
      <x:c r="X642" s="44"/>
    </x:row>
    <x:row r="643" spans="24:24" customHeight="1">
      <x:c r="X643" s="44"/>
    </x:row>
    <x:row r="644" spans="24:24" customHeight="1">
      <x:c r="X644" s="44"/>
    </x:row>
    <x:row r="645" spans="24:24" customHeight="1">
      <x:c r="X645" s="44"/>
    </x:row>
    <x:row r="646" spans="24:24" customHeight="1">
      <x:c r="X646" s="44"/>
    </x:row>
    <x:row r="647" spans="24:24" customHeight="1">
      <x:c r="X647" s="44"/>
    </x:row>
    <x:row r="648" spans="24:24" customHeight="1">
      <x:c r="X648" s="44"/>
    </x:row>
    <x:row r="649" spans="24:24" customHeight="1">
      <x:c r="X649" s="44"/>
    </x:row>
    <x:row r="650" spans="24:24" customHeight="1">
      <x:c r="X650" s="44"/>
    </x:row>
    <x:row r="651" spans="24:24" customHeight="1">
      <x:c r="X651" s="44"/>
    </x:row>
    <x:row r="652" spans="24:24" customHeight="1">
      <x:c r="X652" s="44"/>
    </x:row>
    <x:row r="653" spans="24:24" customHeight="1">
      <x:c r="X653" s="44"/>
    </x:row>
    <x:row r="654" spans="24:24" customHeight="1">
      <x:c r="X654" s="44"/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autoFilter ref="A6:AS126"/>
  <x:mergeCells count="66">
    <x:mergeCell ref="B115:G115"/>
    <x:mergeCell ref="B23:G23"/>
    <x:mergeCell ref="B27:G27"/>
    <x:mergeCell ref="J4:J5"/>
    <x:mergeCell ref="I4:I5"/>
    <x:mergeCell ref="H4:H5"/>
    <x:mergeCell ref="F4:F5"/>
    <x:mergeCell ref="G4:G5"/>
    <x:mergeCell ref="B111:G111"/>
    <x:mergeCell ref="AI4:AI5"/>
    <x:mergeCell ref="AD4:AF4"/>
    <x:mergeCell ref="AH4:AH5"/>
    <x:mergeCell ref="AK4:AK5"/>
    <x:mergeCell ref="T4:T5"/>
    <x:mergeCell ref="U4:U5"/>
    <x:mergeCell ref="V4:V5"/>
    <x:mergeCell ref="W4:W5"/>
    <x:mergeCell ref="X4:X5"/>
    <x:mergeCell ref="AM1:AN1"/>
    <x:mergeCell ref="AQ1:AR1"/>
    <x:mergeCell ref="A1:W1"/>
    <x:mergeCell ref="A4:A5"/>
    <x:mergeCell ref="B4:B5"/>
    <x:mergeCell ref="C4:C5"/>
    <x:mergeCell ref="D4:D5"/>
    <x:mergeCell ref="E4:E5"/>
    <x:mergeCell ref="M4:M5"/>
    <x:mergeCell ref="O4:O5"/>
    <x:mergeCell ref="Q4:Q5"/>
    <x:mergeCell ref="P4:P5"/>
    <x:mergeCell ref="N4:N5"/>
    <x:mergeCell ref="R4:R5"/>
    <x:mergeCell ref="AM4:AO4"/>
    <x:mergeCell ref="AQ4:AS4"/>
    <x:mergeCell ref="AD1:AE1"/>
    <x:mergeCell ref="B7:G7"/>
    <x:mergeCell ref="B107:G107"/>
    <x:mergeCell ref="Z4:AB4"/>
    <x:mergeCell ref="S4:S5"/>
    <x:mergeCell ref="B103:G103"/>
    <x:mergeCell ref="B67:G67"/>
    <x:mergeCell ref="B15:G15"/>
    <x:mergeCell ref="B11:G11"/>
    <x:mergeCell ref="B99:G99"/>
    <x:mergeCell ref="B95:G95"/>
    <x:mergeCell ref="B91:G91"/>
    <x:mergeCell ref="B87:G87"/>
    <x:mergeCell ref="B83:G83"/>
    <x:mergeCell ref="B79:G79"/>
    <x:mergeCell ref="B75:G75"/>
    <x:mergeCell ref="K4:K5"/>
    <x:mergeCell ref="L4:L5"/>
    <x:mergeCell ref="B123:G123"/>
    <x:mergeCell ref="Z1:AA1"/>
    <x:mergeCell ref="B71:G71"/>
    <x:mergeCell ref="B55:G55"/>
    <x:mergeCell ref="B59:G59"/>
    <x:mergeCell ref="B63:G63"/>
    <x:mergeCell ref="B43:G43"/>
    <x:mergeCell ref="B47:G47"/>
    <x:mergeCell ref="B51:G51"/>
    <x:mergeCell ref="B31:G31"/>
    <x:mergeCell ref="B35:G35"/>
    <x:mergeCell ref="B39:G39"/>
    <x:mergeCell ref="B19:G19"/>
    <x:mergeCell ref="B119:G119"/>
  </x:mergeCells>
  <x:conditionalFormatting sqref="F1:G3 F127:G1048576 F71:G71 F11:G11 F15:G15 F19:G19 F23:G23 F27:G27 F31:G31 F35:G35 F39:G39 F43:G43 F47:G47 F51:G51 F55:G55 F59:G59 F63:G63 F67:G67 F75:G75 F79:G79 F83:G83 F87:G87 F91:G91 F95:G95 F99:G99 F103:G103 F107:G107 F6:G7">
    <x:cfRule type="containsText" dxfId="597" priority="1005" operator="containsText" text="직접입력">
      <x:formula>NOT(ISERROR(SEARCH("직접입력",F1)))</x:formula>
    </x:cfRule>
  </x:conditionalFormatting>
  <x:conditionalFormatting sqref="J1:L3 J127:L1048576 J4:J110 J112:J114 J116:J118 J120:J122 J124:J126">
    <x:cfRule type="containsText" dxfId="596" priority="1004" operator="containsText" text="부기명 입력">
      <x:formula>NOT(ISERROR(SEARCH("부기명 입력",J1)))</x:formula>
    </x:cfRule>
  </x:conditionalFormatting>
  <x:conditionalFormatting sqref="M1:M3 M127:M1048576 M6:M6">
    <x:cfRule type="containsText" dxfId="595" priority="1003" operator="containsText" text="금액입력">
      <x:formula>NOT(ISERROR(SEARCH("금액입력",M1)))</x:formula>
    </x:cfRule>
  </x:conditionalFormatting>
  <x:conditionalFormatting sqref="F123:G123">
    <x:cfRule type="containsText" dxfId="594" priority="1002" operator="containsText" text="직접입력">
      <x:formula>NOT(ISERROR(SEARCH("직접입력",F123)))</x:formula>
    </x:cfRule>
  </x:conditionalFormatting>
  <x:conditionalFormatting sqref="J123:J123">
    <x:cfRule type="containsText" dxfId="593" priority="1001" operator="containsText" text="부기명 입력">
      <x:formula>NOT(ISERROR(SEARCH("부기명 입력",J123)))</x:formula>
    </x:cfRule>
  </x:conditionalFormatting>
  <x:conditionalFormatting sqref="K7:Q7">
    <x:cfRule type="containsText" dxfId="592" priority="994" operator="containsText" text="금액입력">
      <x:formula>NOT(ISERROR(SEARCH("금액입력",K7)))</x:formula>
    </x:cfRule>
  </x:conditionalFormatting>
  <x:conditionalFormatting sqref="M8:M10 M12:M14 M16:M18 M20:M22 M24:M26 M28:M30 M32:M34 M36:M38 M40:M42 M44:M46 M48:M50 M52:M54 M56:M58 M60:M62 M64:M66 M68:M70 M72:M74 M76:M78 M80:M82 M84:M86 M88:M90 M92:M94 M96:M98 M100:M102 M104:M106 M108:M110 M112:M114 M116:M118 M120:M122 M124:M126">
    <x:cfRule type="containsText" dxfId="591" priority="966" operator="containsText" text="금액입력">
      <x:formula>NOT(ISERROR(SEARCH("금액입력",M8)))</x:formula>
    </x:cfRule>
  </x:conditionalFormatting>
  <x:conditionalFormatting sqref="K6:L6">
    <x:cfRule type="containsText" dxfId="590" priority="780" operator="containsText" text="금액입력">
      <x:formula>NOT(ISERROR(SEARCH("금액입력",K6)))</x:formula>
    </x:cfRule>
  </x:conditionalFormatting>
  <x:conditionalFormatting sqref="K11:Q11">
    <x:cfRule type="containsText" dxfId="589" priority="806" operator="containsText" text="금액입력">
      <x:formula>NOT(ISERROR(SEARCH("금액입력",K11)))</x:formula>
    </x:cfRule>
  </x:conditionalFormatting>
  <x:conditionalFormatting sqref="K15:Q15">
    <x:cfRule type="containsText" dxfId="588" priority="805" operator="containsText" text="금액입력">
      <x:formula>NOT(ISERROR(SEARCH("금액입력",K15)))</x:formula>
    </x:cfRule>
  </x:conditionalFormatting>
  <x:conditionalFormatting sqref="K19:Q19">
    <x:cfRule type="containsText" dxfId="587" priority="804" operator="containsText" text="금액입력">
      <x:formula>NOT(ISERROR(SEARCH("금액입력",K19)))</x:formula>
    </x:cfRule>
  </x:conditionalFormatting>
  <x:conditionalFormatting sqref="K23:Q23">
    <x:cfRule type="containsText" dxfId="586" priority="803" operator="containsText" text="금액입력">
      <x:formula>NOT(ISERROR(SEARCH("금액입력",K23)))</x:formula>
    </x:cfRule>
  </x:conditionalFormatting>
  <x:conditionalFormatting sqref="K27:Q27">
    <x:cfRule type="containsText" dxfId="585" priority="802" operator="containsText" text="금액입력">
      <x:formula>NOT(ISERROR(SEARCH("금액입력",K27)))</x:formula>
    </x:cfRule>
  </x:conditionalFormatting>
  <x:conditionalFormatting sqref="K31:Q31">
    <x:cfRule type="containsText" dxfId="584" priority="801" operator="containsText" text="금액입력">
      <x:formula>NOT(ISERROR(SEARCH("금액입력",K31)))</x:formula>
    </x:cfRule>
  </x:conditionalFormatting>
  <x:conditionalFormatting sqref="K35:Q35">
    <x:cfRule type="containsText" dxfId="583" priority="800" operator="containsText" text="금액입력">
      <x:formula>NOT(ISERROR(SEARCH("금액입력",K35)))</x:formula>
    </x:cfRule>
  </x:conditionalFormatting>
  <x:conditionalFormatting sqref="K39:Q39">
    <x:cfRule type="containsText" dxfId="582" priority="799" operator="containsText" text="금액입력">
      <x:formula>NOT(ISERROR(SEARCH("금액입력",K39)))</x:formula>
    </x:cfRule>
  </x:conditionalFormatting>
  <x:conditionalFormatting sqref="K43:Q43">
    <x:cfRule type="containsText" dxfId="581" priority="798" operator="containsText" text="금액입력">
      <x:formula>NOT(ISERROR(SEARCH("금액입력",K43)))</x:formula>
    </x:cfRule>
  </x:conditionalFormatting>
  <x:conditionalFormatting sqref="K47:Q47">
    <x:cfRule type="containsText" dxfId="580" priority="797" operator="containsText" text="금액입력">
      <x:formula>NOT(ISERROR(SEARCH("금액입력",K47)))</x:formula>
    </x:cfRule>
  </x:conditionalFormatting>
  <x:conditionalFormatting sqref="K51:Q51">
    <x:cfRule type="containsText" dxfId="579" priority="796" operator="containsText" text="금액입력">
      <x:formula>NOT(ISERROR(SEARCH("금액입력",K51)))</x:formula>
    </x:cfRule>
  </x:conditionalFormatting>
  <x:conditionalFormatting sqref="K55:Q55">
    <x:cfRule type="containsText" dxfId="578" priority="795" operator="containsText" text="금액입력">
      <x:formula>NOT(ISERROR(SEARCH("금액입력",K55)))</x:formula>
    </x:cfRule>
  </x:conditionalFormatting>
  <x:conditionalFormatting sqref="K59:Q59">
    <x:cfRule type="containsText" dxfId="577" priority="794" operator="containsText" text="금액입력">
      <x:formula>NOT(ISERROR(SEARCH("금액입력",K59)))</x:formula>
    </x:cfRule>
  </x:conditionalFormatting>
  <x:conditionalFormatting sqref="K63:Q63">
    <x:cfRule type="containsText" dxfId="576" priority="793" operator="containsText" text="금액입력">
      <x:formula>NOT(ISERROR(SEARCH("금액입력",K63)))</x:formula>
    </x:cfRule>
  </x:conditionalFormatting>
  <x:conditionalFormatting sqref="K67:Q67">
    <x:cfRule type="containsText" dxfId="575" priority="792" operator="containsText" text="금액입력">
      <x:formula>NOT(ISERROR(SEARCH("금액입력",K67)))</x:formula>
    </x:cfRule>
  </x:conditionalFormatting>
  <x:conditionalFormatting sqref="K71:Q71">
    <x:cfRule type="containsText" dxfId="574" priority="791" operator="containsText" text="금액입력">
      <x:formula>NOT(ISERROR(SEARCH("금액입력",K71)))</x:formula>
    </x:cfRule>
  </x:conditionalFormatting>
  <x:conditionalFormatting sqref="K75:Q75">
    <x:cfRule type="containsText" dxfId="573" priority="790" operator="containsText" text="금액입력">
      <x:formula>NOT(ISERROR(SEARCH("금액입력",K75)))</x:formula>
    </x:cfRule>
  </x:conditionalFormatting>
  <x:conditionalFormatting sqref="K79:Q79">
    <x:cfRule type="containsText" dxfId="572" priority="789" operator="containsText" text="금액입력">
      <x:formula>NOT(ISERROR(SEARCH("금액입력",K79)))</x:formula>
    </x:cfRule>
  </x:conditionalFormatting>
  <x:conditionalFormatting sqref="K83:Q83">
    <x:cfRule type="containsText" dxfId="571" priority="788" operator="containsText" text="금액입력">
      <x:formula>NOT(ISERROR(SEARCH("금액입력",K83)))</x:formula>
    </x:cfRule>
  </x:conditionalFormatting>
  <x:conditionalFormatting sqref="K87:Q87">
    <x:cfRule type="containsText" dxfId="570" priority="787" operator="containsText" text="금액입력">
      <x:formula>NOT(ISERROR(SEARCH("금액입력",K87)))</x:formula>
    </x:cfRule>
  </x:conditionalFormatting>
  <x:conditionalFormatting sqref="K91:Q91">
    <x:cfRule type="containsText" dxfId="569" priority="786" operator="containsText" text="금액입력">
      <x:formula>NOT(ISERROR(SEARCH("금액입력",K91)))</x:formula>
    </x:cfRule>
  </x:conditionalFormatting>
  <x:conditionalFormatting sqref="K95:Q95">
    <x:cfRule type="containsText" dxfId="568" priority="785" operator="containsText" text="금액입력">
      <x:formula>NOT(ISERROR(SEARCH("금액입력",K95)))</x:formula>
    </x:cfRule>
  </x:conditionalFormatting>
  <x:conditionalFormatting sqref="K99:Q99">
    <x:cfRule type="containsText" dxfId="567" priority="784" operator="containsText" text="금액입력">
      <x:formula>NOT(ISERROR(SEARCH("금액입력",K99)))</x:formula>
    </x:cfRule>
  </x:conditionalFormatting>
  <x:conditionalFormatting sqref="K103:Q103">
    <x:cfRule type="containsText" dxfId="566" priority="783" operator="containsText" text="금액입력">
      <x:formula>NOT(ISERROR(SEARCH("금액입력",K103)))</x:formula>
    </x:cfRule>
  </x:conditionalFormatting>
  <x:conditionalFormatting sqref="K107:Q107">
    <x:cfRule type="containsText" dxfId="565" priority="782" operator="containsText" text="금액입력">
      <x:formula>NOT(ISERROR(SEARCH("금액입력",K107)))</x:formula>
    </x:cfRule>
  </x:conditionalFormatting>
  <x:conditionalFormatting sqref="K123:Q123">
    <x:cfRule type="containsText" dxfId="564" priority="781" operator="containsText" text="금액입력">
      <x:formula>NOT(ISERROR(SEARCH("금액입력",K123)))</x:formula>
    </x:cfRule>
  </x:conditionalFormatting>
  <x:conditionalFormatting sqref="M4:M5">
    <x:cfRule type="containsText" dxfId="563" priority="779" operator="containsText" text="금액입력">
      <x:formula>NOT(ISERROR(SEARCH("금액입력",M4)))</x:formula>
    </x:cfRule>
  </x:conditionalFormatting>
  <x:conditionalFormatting sqref="F4:G5">
    <x:cfRule type="containsText" dxfId="562" priority="777" operator="containsText" text="직접입력">
      <x:formula>NOT(ISERROR(SEARCH("직접입력",F4)))</x:formula>
    </x:cfRule>
  </x:conditionalFormatting>
  <x:conditionalFormatting sqref="F111:G111">
    <x:cfRule type="containsText" dxfId="561" priority="776" operator="containsText" text="직접입력">
      <x:formula>NOT(ISERROR(SEARCH("직접입력",F111)))</x:formula>
    </x:cfRule>
  </x:conditionalFormatting>
  <x:conditionalFormatting sqref="J111:J111">
    <x:cfRule type="containsText" dxfId="560" priority="775" operator="containsText" text="부기명 입력">
      <x:formula>NOT(ISERROR(SEARCH("부기명 입력",J111)))</x:formula>
    </x:cfRule>
  </x:conditionalFormatting>
  <x:conditionalFormatting sqref="K111:Q111">
    <x:cfRule type="containsText" dxfId="559" priority="766" operator="containsText" text="금액입력">
      <x:formula>NOT(ISERROR(SEARCH("금액입력",K111)))</x:formula>
    </x:cfRule>
  </x:conditionalFormatting>
  <x:conditionalFormatting sqref="K4:L5">
    <x:cfRule type="containsText" dxfId="558" priority="765" operator="containsText" text="금액입력">
      <x:formula>NOT(ISERROR(SEARCH("금액입력",K4)))</x:formula>
    </x:cfRule>
  </x:conditionalFormatting>
  <x:conditionalFormatting sqref="F119:G119">
    <x:cfRule type="containsText" dxfId="557" priority="615" operator="containsText" text="직접입력">
      <x:formula>NOT(ISERROR(SEARCH("직접입력",F119)))</x:formula>
    </x:cfRule>
  </x:conditionalFormatting>
  <x:conditionalFormatting sqref="J119:J119">
    <x:cfRule type="containsText" dxfId="556" priority="614" operator="containsText" text="부기명 입력">
      <x:formula>NOT(ISERROR(SEARCH("부기명 입력",J119)))</x:formula>
    </x:cfRule>
  </x:conditionalFormatting>
  <x:conditionalFormatting sqref="K119:Q119">
    <x:cfRule type="containsText" dxfId="555" priority="608" operator="containsText" text="금액입력">
      <x:formula>NOT(ISERROR(SEARCH("금액입력",K119)))</x:formula>
    </x:cfRule>
  </x:conditionalFormatting>
  <x:conditionalFormatting sqref="F115:G115">
    <x:cfRule type="containsText" dxfId="554" priority="607" operator="containsText" text="직접입력">
      <x:formula>NOT(ISERROR(SEARCH("직접입력",F115)))</x:formula>
    </x:cfRule>
  </x:conditionalFormatting>
  <x:conditionalFormatting sqref="J115:J115">
    <x:cfRule type="containsText" dxfId="553" priority="606" operator="containsText" text="부기명 입력">
      <x:formula>NOT(ISERROR(SEARCH("부기명 입력",J115)))</x:formula>
    </x:cfRule>
  </x:conditionalFormatting>
  <x:conditionalFormatting sqref="K115:Q115">
    <x:cfRule type="containsText" dxfId="552" priority="600" operator="containsText" text="금액입력">
      <x:formula>NOT(ISERROR(SEARCH("금액입력",K115)))</x:formula>
    </x:cfRule>
  </x:conditionalFormatting>
  <x: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x:cfRule type="containsText" dxfId="551" priority="599" operator="containsText" text="직접입력">
      <x:formula>NOT(ISERROR(SEARCH("직접입력",B8)))</x:formula>
    </x:cfRule>
  </x:conditionalFormatting>
  <x:conditionalFormatting sqref="F8:G10">
    <x:cfRule type="containsText" dxfId="550" priority="449" operator="containsText" text="직접입력">
      <x:formula>NOT(ISERROR(SEARCH("직접입력",F8)))</x:formula>
    </x:cfRule>
  </x:conditionalFormatting>
  <x:conditionalFormatting sqref="K8:K10">
    <x:cfRule type="containsText" dxfId="549" priority="383" operator="containsText" text="부기명 입력">
      <x:formula>NOT(ISERROR(SEARCH("부기명 입력",K8)))</x:formula>
    </x:cfRule>
  </x:conditionalFormatting>
  <x:conditionalFormatting sqref="K8:K10">
    <x:cfRule type="containsText" dxfId="548" priority="382" operator="containsText" text="금액입력">
      <x:formula>NOT(ISERROR(SEARCH("금액입력",K8)))</x:formula>
    </x:cfRule>
  </x:conditionalFormatting>
  <x:conditionalFormatting sqref="L8:L10">
    <x:cfRule type="containsText" dxfId="547" priority="381" operator="containsText" text="금액입력">
      <x:formula>NOT(ISERROR(SEARCH("금액입력",L8)))</x:formula>
    </x:cfRule>
  </x:conditionalFormatting>
  <x:conditionalFormatting sqref="K8:K10">
    <x:cfRule type="containsText" dxfId="546" priority="380" operator="containsText" text="부기명 입력">
      <x:formula>NOT(ISERROR(SEARCH("부기명 입력",K8)))</x:formula>
    </x:cfRule>
  </x:conditionalFormatting>
  <x:conditionalFormatting sqref="K8:K10">
    <x:cfRule type="containsText" dxfId="545" priority="379" operator="containsText" text="금액입력">
      <x:formula>NOT(ISERROR(SEARCH("금액입력",K8)))</x:formula>
    </x:cfRule>
  </x:conditionalFormatting>
  <x:conditionalFormatting sqref="L8:L10">
    <x:cfRule type="containsText" dxfId="544" priority="378" operator="containsText" text="금액입력">
      <x:formula>NOT(ISERROR(SEARCH("금액입력",L8)))</x:formula>
    </x:cfRule>
  </x:conditionalFormatting>
  <x:conditionalFormatting sqref="F12:G14">
    <x:cfRule type="containsText" dxfId="543" priority="203" operator="containsText" text="직접입력">
      <x:formula>NOT(ISERROR(SEARCH("직접입력",F12)))</x:formula>
    </x:cfRule>
  </x:conditionalFormatting>
  <x:conditionalFormatting sqref="F16:G18">
    <x:cfRule type="containsText" dxfId="542" priority="202" operator="containsText" text="직접입력">
      <x:formula>NOT(ISERROR(SEARCH("직접입력",F16)))</x:formula>
    </x:cfRule>
  </x:conditionalFormatting>
  <x:conditionalFormatting sqref="F20:G22">
    <x:cfRule type="containsText" dxfId="541" priority="201" operator="containsText" text="직접입력">
      <x:formula>NOT(ISERROR(SEARCH("직접입력",F20)))</x:formula>
    </x:cfRule>
  </x:conditionalFormatting>
  <x:conditionalFormatting sqref="F24:G26">
    <x:cfRule type="containsText" dxfId="540" priority="200" operator="containsText" text="직접입력">
      <x:formula>NOT(ISERROR(SEARCH("직접입력",F24)))</x:formula>
    </x:cfRule>
  </x:conditionalFormatting>
  <x:conditionalFormatting sqref="F28:G30">
    <x:cfRule type="containsText" dxfId="539" priority="199" operator="containsText" text="직접입력">
      <x:formula>NOT(ISERROR(SEARCH("직접입력",F28)))</x:formula>
    </x:cfRule>
  </x:conditionalFormatting>
  <x:conditionalFormatting sqref="F32:G34">
    <x:cfRule type="containsText" dxfId="538" priority="198" operator="containsText" text="직접입력">
      <x:formula>NOT(ISERROR(SEARCH("직접입력",F32)))</x:formula>
    </x:cfRule>
  </x:conditionalFormatting>
  <x:conditionalFormatting sqref="F36:G38">
    <x:cfRule type="containsText" dxfId="537" priority="197" operator="containsText" text="직접입력">
      <x:formula>NOT(ISERROR(SEARCH("직접입력",F36)))</x:formula>
    </x:cfRule>
  </x:conditionalFormatting>
  <x:conditionalFormatting sqref="F40:G42">
    <x:cfRule type="containsText" dxfId="536" priority="196" operator="containsText" text="직접입력">
      <x:formula>NOT(ISERROR(SEARCH("직접입력",F40)))</x:formula>
    </x:cfRule>
  </x:conditionalFormatting>
  <x:conditionalFormatting sqref="F44:G46">
    <x:cfRule type="containsText" dxfId="535" priority="195" operator="containsText" text="직접입력">
      <x:formula>NOT(ISERROR(SEARCH("직접입력",F44)))</x:formula>
    </x:cfRule>
  </x:conditionalFormatting>
  <x:conditionalFormatting sqref="F48:G50">
    <x:cfRule type="containsText" dxfId="534" priority="194" operator="containsText" text="직접입력">
      <x:formula>NOT(ISERROR(SEARCH("직접입력",F48)))</x:formula>
    </x:cfRule>
  </x:conditionalFormatting>
  <x:conditionalFormatting sqref="F52:G54">
    <x:cfRule type="containsText" dxfId="533" priority="193" operator="containsText" text="직접입력">
      <x:formula>NOT(ISERROR(SEARCH("직접입력",F52)))</x:formula>
    </x:cfRule>
  </x:conditionalFormatting>
  <x:conditionalFormatting sqref="F56:G58">
    <x:cfRule type="containsText" dxfId="532" priority="192" operator="containsText" text="직접입력">
      <x:formula>NOT(ISERROR(SEARCH("직접입력",F56)))</x:formula>
    </x:cfRule>
  </x:conditionalFormatting>
  <x:conditionalFormatting sqref="F60:G62">
    <x:cfRule type="containsText" dxfId="531" priority="191" operator="containsText" text="직접입력">
      <x:formula>NOT(ISERROR(SEARCH("직접입력",F60)))</x:formula>
    </x:cfRule>
  </x:conditionalFormatting>
  <x:conditionalFormatting sqref="F64:G66">
    <x:cfRule type="containsText" dxfId="530" priority="190" operator="containsText" text="직접입력">
      <x:formula>NOT(ISERROR(SEARCH("직접입력",F64)))</x:formula>
    </x:cfRule>
  </x:conditionalFormatting>
  <x:conditionalFormatting sqref="F68:G70">
    <x:cfRule type="containsText" dxfId="529" priority="189" operator="containsText" text="직접입력">
      <x:formula>NOT(ISERROR(SEARCH("직접입력",F68)))</x:formula>
    </x:cfRule>
  </x:conditionalFormatting>
  <x:conditionalFormatting sqref="F72:G74">
    <x:cfRule type="containsText" dxfId="528" priority="188" operator="containsText" text="직접입력">
      <x:formula>NOT(ISERROR(SEARCH("직접입력",F72)))</x:formula>
    </x:cfRule>
  </x:conditionalFormatting>
  <x:conditionalFormatting sqref="F76:G78">
    <x:cfRule type="containsText" dxfId="527" priority="187" operator="containsText" text="직접입력">
      <x:formula>NOT(ISERROR(SEARCH("직접입력",F76)))</x:formula>
    </x:cfRule>
  </x:conditionalFormatting>
  <x:conditionalFormatting sqref="F80:G82">
    <x:cfRule type="containsText" dxfId="526" priority="186" operator="containsText" text="직접입력">
      <x:formula>NOT(ISERROR(SEARCH("직접입력",F80)))</x:formula>
    </x:cfRule>
  </x:conditionalFormatting>
  <x:conditionalFormatting sqref="F84:G86">
    <x:cfRule type="containsText" dxfId="525" priority="185" operator="containsText" text="직접입력">
      <x:formula>NOT(ISERROR(SEARCH("직접입력",F84)))</x:formula>
    </x:cfRule>
  </x:conditionalFormatting>
  <x:conditionalFormatting sqref="F88:G90">
    <x:cfRule type="containsText" dxfId="524" priority="184" operator="containsText" text="직접입력">
      <x:formula>NOT(ISERROR(SEARCH("직접입력",F88)))</x:formula>
    </x:cfRule>
  </x:conditionalFormatting>
  <x:conditionalFormatting sqref="F92:G94">
    <x:cfRule type="containsText" dxfId="523" priority="183" operator="containsText" text="직접입력">
      <x:formula>NOT(ISERROR(SEARCH("직접입력",F92)))</x:formula>
    </x:cfRule>
  </x:conditionalFormatting>
  <x:conditionalFormatting sqref="F96:G98">
    <x:cfRule type="containsText" dxfId="522" priority="182" operator="containsText" text="직접입력">
      <x:formula>NOT(ISERROR(SEARCH("직접입력",F96)))</x:formula>
    </x:cfRule>
  </x:conditionalFormatting>
  <x:conditionalFormatting sqref="F100:G102">
    <x:cfRule type="containsText" dxfId="521" priority="181" operator="containsText" text="직접입력">
      <x:formula>NOT(ISERROR(SEARCH("직접입력",F100)))</x:formula>
    </x:cfRule>
  </x:conditionalFormatting>
  <x:conditionalFormatting sqref="F104:G106">
    <x:cfRule type="containsText" dxfId="520" priority="180" operator="containsText" text="직접입력">
      <x:formula>NOT(ISERROR(SEARCH("직접입력",F104)))</x:formula>
    </x:cfRule>
  </x:conditionalFormatting>
  <x:conditionalFormatting sqref="F108:G110">
    <x:cfRule type="containsText" dxfId="519" priority="179" operator="containsText" text="직접입력">
      <x:formula>NOT(ISERROR(SEARCH("직접입력",F108)))</x:formula>
    </x:cfRule>
  </x:conditionalFormatting>
  <x:conditionalFormatting sqref="F112:G114">
    <x:cfRule type="containsText" dxfId="518" priority="178" operator="containsText" text="직접입력">
      <x:formula>NOT(ISERROR(SEARCH("직접입력",F112)))</x:formula>
    </x:cfRule>
  </x:conditionalFormatting>
  <x:conditionalFormatting sqref="F116:G118">
    <x:cfRule type="containsText" dxfId="517" priority="177" operator="containsText" text="직접입력">
      <x:formula>NOT(ISERROR(SEARCH("직접입력",F116)))</x:formula>
    </x:cfRule>
  </x:conditionalFormatting>
  <x:conditionalFormatting sqref="F120:G122">
    <x:cfRule type="containsText" dxfId="516" priority="176" operator="containsText" text="직접입력">
      <x:formula>NOT(ISERROR(SEARCH("직접입력",F120)))</x:formula>
    </x:cfRule>
  </x:conditionalFormatting>
  <x:conditionalFormatting sqref="F124:G126">
    <x:cfRule type="containsText" dxfId="515" priority="175" operator="containsText" text="직접입력">
      <x:formula>NOT(ISERROR(SEARCH("직접입력",F124)))</x:formula>
    </x:cfRule>
  </x:conditionalFormatting>
  <x:conditionalFormatting sqref="K12:K14">
    <x:cfRule type="containsText" dxfId="514" priority="174" operator="containsText" text="부기명 입력">
      <x:formula>NOT(ISERROR(SEARCH("부기명 입력",K12)))</x:formula>
    </x:cfRule>
  </x:conditionalFormatting>
  <x:conditionalFormatting sqref="K12:K14">
    <x:cfRule type="containsText" dxfId="513" priority="173" operator="containsText" text="금액입력">
      <x:formula>NOT(ISERROR(SEARCH("금액입력",K12)))</x:formula>
    </x:cfRule>
  </x:conditionalFormatting>
  <x:conditionalFormatting sqref="L12:L14">
    <x:cfRule type="containsText" dxfId="512" priority="172" operator="containsText" text="금액입력">
      <x:formula>NOT(ISERROR(SEARCH("금액입력",L12)))</x:formula>
    </x:cfRule>
  </x:conditionalFormatting>
  <x:conditionalFormatting sqref="K12:K14">
    <x:cfRule type="containsText" dxfId="511" priority="171" operator="containsText" text="부기명 입력">
      <x:formula>NOT(ISERROR(SEARCH("부기명 입력",K12)))</x:formula>
    </x:cfRule>
  </x:conditionalFormatting>
  <x:conditionalFormatting sqref="K12:K14">
    <x:cfRule type="containsText" dxfId="510" priority="170" operator="containsText" text="금액입력">
      <x:formula>NOT(ISERROR(SEARCH("금액입력",K12)))</x:formula>
    </x:cfRule>
  </x:conditionalFormatting>
  <x:conditionalFormatting sqref="L12:L14">
    <x:cfRule type="containsText" dxfId="509" priority="169" operator="containsText" text="금액입력">
      <x:formula>NOT(ISERROR(SEARCH("금액입력",L12)))</x:formula>
    </x:cfRule>
  </x:conditionalFormatting>
  <x:conditionalFormatting sqref="K16:K18">
    <x:cfRule type="containsText" dxfId="508" priority="168" operator="containsText" text="부기명 입력">
      <x:formula>NOT(ISERROR(SEARCH("부기명 입력",K16)))</x:formula>
    </x:cfRule>
  </x:conditionalFormatting>
  <x:conditionalFormatting sqref="K16:K18">
    <x:cfRule type="containsText" dxfId="507" priority="167" operator="containsText" text="금액입력">
      <x:formula>NOT(ISERROR(SEARCH("금액입력",K16)))</x:formula>
    </x:cfRule>
  </x:conditionalFormatting>
  <x:conditionalFormatting sqref="L16:L18">
    <x:cfRule type="containsText" dxfId="506" priority="166" operator="containsText" text="금액입력">
      <x:formula>NOT(ISERROR(SEARCH("금액입력",L16)))</x:formula>
    </x:cfRule>
  </x:conditionalFormatting>
  <x:conditionalFormatting sqref="K16:K18">
    <x:cfRule type="containsText" dxfId="505" priority="165" operator="containsText" text="부기명 입력">
      <x:formula>NOT(ISERROR(SEARCH("부기명 입력",K16)))</x:formula>
    </x:cfRule>
  </x:conditionalFormatting>
  <x:conditionalFormatting sqref="K16:K18">
    <x:cfRule type="containsText" dxfId="504" priority="164" operator="containsText" text="금액입력">
      <x:formula>NOT(ISERROR(SEARCH("금액입력",K16)))</x:formula>
    </x:cfRule>
  </x:conditionalFormatting>
  <x:conditionalFormatting sqref="L16:L18">
    <x:cfRule type="containsText" dxfId="503" priority="163" operator="containsText" text="금액입력">
      <x:formula>NOT(ISERROR(SEARCH("금액입력",L16)))</x:formula>
    </x:cfRule>
  </x:conditionalFormatting>
  <x:conditionalFormatting sqref="K20:K22">
    <x:cfRule type="containsText" dxfId="502" priority="162" operator="containsText" text="부기명 입력">
      <x:formula>NOT(ISERROR(SEARCH("부기명 입력",K20)))</x:formula>
    </x:cfRule>
  </x:conditionalFormatting>
  <x:conditionalFormatting sqref="K20:K22">
    <x:cfRule type="containsText" dxfId="501" priority="161" operator="containsText" text="금액입력">
      <x:formula>NOT(ISERROR(SEARCH("금액입력",K20)))</x:formula>
    </x:cfRule>
  </x:conditionalFormatting>
  <x:conditionalFormatting sqref="L20:L22">
    <x:cfRule type="containsText" dxfId="500" priority="160" operator="containsText" text="금액입력">
      <x:formula>NOT(ISERROR(SEARCH("금액입력",L20)))</x:formula>
    </x:cfRule>
  </x:conditionalFormatting>
  <x:conditionalFormatting sqref="K20:K22">
    <x:cfRule type="containsText" dxfId="499" priority="159" operator="containsText" text="부기명 입력">
      <x:formula>NOT(ISERROR(SEARCH("부기명 입력",K20)))</x:formula>
    </x:cfRule>
  </x:conditionalFormatting>
  <x:conditionalFormatting sqref="K20:K22">
    <x:cfRule type="containsText" dxfId="498" priority="158" operator="containsText" text="금액입력">
      <x:formula>NOT(ISERROR(SEARCH("금액입력",K20)))</x:formula>
    </x:cfRule>
  </x:conditionalFormatting>
  <x:conditionalFormatting sqref="L20:L22">
    <x:cfRule type="containsText" dxfId="497" priority="157" operator="containsText" text="금액입력">
      <x:formula>NOT(ISERROR(SEARCH("금액입력",L20)))</x:formula>
    </x:cfRule>
  </x:conditionalFormatting>
  <x:conditionalFormatting sqref="K24:K26">
    <x:cfRule type="containsText" dxfId="496" priority="156" operator="containsText" text="부기명 입력">
      <x:formula>NOT(ISERROR(SEARCH("부기명 입력",K24)))</x:formula>
    </x:cfRule>
  </x:conditionalFormatting>
  <x:conditionalFormatting sqref="K24:K26">
    <x:cfRule type="containsText" dxfId="495" priority="155" operator="containsText" text="금액입력">
      <x:formula>NOT(ISERROR(SEARCH("금액입력",K24)))</x:formula>
    </x:cfRule>
  </x:conditionalFormatting>
  <x:conditionalFormatting sqref="L24:L26">
    <x:cfRule type="containsText" dxfId="494" priority="154" operator="containsText" text="금액입력">
      <x:formula>NOT(ISERROR(SEARCH("금액입력",L24)))</x:formula>
    </x:cfRule>
  </x:conditionalFormatting>
  <x:conditionalFormatting sqref="K24:K26">
    <x:cfRule type="containsText" dxfId="493" priority="153" operator="containsText" text="부기명 입력">
      <x:formula>NOT(ISERROR(SEARCH("부기명 입력",K24)))</x:formula>
    </x:cfRule>
  </x:conditionalFormatting>
  <x:conditionalFormatting sqref="K24:K26">
    <x:cfRule type="containsText" dxfId="492" priority="152" operator="containsText" text="금액입력">
      <x:formula>NOT(ISERROR(SEARCH("금액입력",K24)))</x:formula>
    </x:cfRule>
  </x:conditionalFormatting>
  <x:conditionalFormatting sqref="L24:L26">
    <x:cfRule type="containsText" dxfId="491" priority="151" operator="containsText" text="금액입력">
      <x:formula>NOT(ISERROR(SEARCH("금액입력",L24)))</x:formula>
    </x:cfRule>
  </x:conditionalFormatting>
  <x:conditionalFormatting sqref="K28:K30">
    <x:cfRule type="containsText" dxfId="490" priority="150" operator="containsText" text="부기명 입력">
      <x:formula>NOT(ISERROR(SEARCH("부기명 입력",K28)))</x:formula>
    </x:cfRule>
  </x:conditionalFormatting>
  <x:conditionalFormatting sqref="K28:K30">
    <x:cfRule type="containsText" dxfId="489" priority="149" operator="containsText" text="금액입력">
      <x:formula>NOT(ISERROR(SEARCH("금액입력",K28)))</x:formula>
    </x:cfRule>
  </x:conditionalFormatting>
  <x:conditionalFormatting sqref="L28:L30">
    <x:cfRule type="containsText" dxfId="488" priority="148" operator="containsText" text="금액입력">
      <x:formula>NOT(ISERROR(SEARCH("금액입력",L28)))</x:formula>
    </x:cfRule>
  </x:conditionalFormatting>
  <x:conditionalFormatting sqref="K28:K30">
    <x:cfRule type="containsText" dxfId="487" priority="147" operator="containsText" text="부기명 입력">
      <x:formula>NOT(ISERROR(SEARCH("부기명 입력",K28)))</x:formula>
    </x:cfRule>
  </x:conditionalFormatting>
  <x:conditionalFormatting sqref="K28:K30">
    <x:cfRule type="containsText" dxfId="486" priority="146" operator="containsText" text="금액입력">
      <x:formula>NOT(ISERROR(SEARCH("금액입력",K28)))</x:formula>
    </x:cfRule>
  </x:conditionalFormatting>
  <x:conditionalFormatting sqref="L28:L30">
    <x:cfRule type="containsText" dxfId="485" priority="145" operator="containsText" text="금액입력">
      <x:formula>NOT(ISERROR(SEARCH("금액입력",L28)))</x:formula>
    </x:cfRule>
  </x:conditionalFormatting>
  <x:conditionalFormatting sqref="K32:K34">
    <x:cfRule type="containsText" dxfId="484" priority="144" operator="containsText" text="부기명 입력">
      <x:formula>NOT(ISERROR(SEARCH("부기명 입력",K32)))</x:formula>
    </x:cfRule>
  </x:conditionalFormatting>
  <x:conditionalFormatting sqref="K32:K34">
    <x:cfRule type="containsText" dxfId="483" priority="143" operator="containsText" text="금액입력">
      <x:formula>NOT(ISERROR(SEARCH("금액입력",K32)))</x:formula>
    </x:cfRule>
  </x:conditionalFormatting>
  <x:conditionalFormatting sqref="L32:L34">
    <x:cfRule type="containsText" dxfId="482" priority="142" operator="containsText" text="금액입력">
      <x:formula>NOT(ISERROR(SEARCH("금액입력",L32)))</x:formula>
    </x:cfRule>
  </x:conditionalFormatting>
  <x:conditionalFormatting sqref="K32:K34">
    <x:cfRule type="containsText" dxfId="481" priority="141" operator="containsText" text="부기명 입력">
      <x:formula>NOT(ISERROR(SEARCH("부기명 입력",K32)))</x:formula>
    </x:cfRule>
  </x:conditionalFormatting>
  <x:conditionalFormatting sqref="K32:K34">
    <x:cfRule type="containsText" dxfId="480" priority="140" operator="containsText" text="금액입력">
      <x:formula>NOT(ISERROR(SEARCH("금액입력",K32)))</x:formula>
    </x:cfRule>
  </x:conditionalFormatting>
  <x:conditionalFormatting sqref="L32:L34">
    <x:cfRule type="containsText" dxfId="479" priority="139" operator="containsText" text="금액입력">
      <x:formula>NOT(ISERROR(SEARCH("금액입력",L32)))</x:formula>
    </x:cfRule>
  </x:conditionalFormatting>
  <x:conditionalFormatting sqref="K36:K38">
    <x:cfRule type="containsText" dxfId="478" priority="138" operator="containsText" text="부기명 입력">
      <x:formula>NOT(ISERROR(SEARCH("부기명 입력",K36)))</x:formula>
    </x:cfRule>
  </x:conditionalFormatting>
  <x:conditionalFormatting sqref="K36:K38">
    <x:cfRule type="containsText" dxfId="477" priority="137" operator="containsText" text="금액입력">
      <x:formula>NOT(ISERROR(SEARCH("금액입력",K36)))</x:formula>
    </x:cfRule>
  </x:conditionalFormatting>
  <x:conditionalFormatting sqref="L36:L38">
    <x:cfRule type="containsText" dxfId="476" priority="136" operator="containsText" text="금액입력">
      <x:formula>NOT(ISERROR(SEARCH("금액입력",L36)))</x:formula>
    </x:cfRule>
  </x:conditionalFormatting>
  <x:conditionalFormatting sqref="K36:K38">
    <x:cfRule type="containsText" dxfId="475" priority="135" operator="containsText" text="부기명 입력">
      <x:formula>NOT(ISERROR(SEARCH("부기명 입력",K36)))</x:formula>
    </x:cfRule>
  </x:conditionalFormatting>
  <x:conditionalFormatting sqref="K36:K38">
    <x:cfRule type="containsText" dxfId="474" priority="134" operator="containsText" text="금액입력">
      <x:formula>NOT(ISERROR(SEARCH("금액입력",K36)))</x:formula>
    </x:cfRule>
  </x:conditionalFormatting>
  <x:conditionalFormatting sqref="L36:L38">
    <x:cfRule type="containsText" dxfId="473" priority="133" operator="containsText" text="금액입력">
      <x:formula>NOT(ISERROR(SEARCH("금액입력",L36)))</x:formula>
    </x:cfRule>
  </x:conditionalFormatting>
  <x:conditionalFormatting sqref="K40:K42">
    <x:cfRule type="containsText" dxfId="472" priority="132" operator="containsText" text="부기명 입력">
      <x:formula>NOT(ISERROR(SEARCH("부기명 입력",K40)))</x:formula>
    </x:cfRule>
  </x:conditionalFormatting>
  <x:conditionalFormatting sqref="K40:K42">
    <x:cfRule type="containsText" dxfId="471" priority="131" operator="containsText" text="금액입력">
      <x:formula>NOT(ISERROR(SEARCH("금액입력",K40)))</x:formula>
    </x:cfRule>
  </x:conditionalFormatting>
  <x:conditionalFormatting sqref="L40:L42">
    <x:cfRule type="containsText" dxfId="470" priority="130" operator="containsText" text="금액입력">
      <x:formula>NOT(ISERROR(SEARCH("금액입력",L40)))</x:formula>
    </x:cfRule>
  </x:conditionalFormatting>
  <x:conditionalFormatting sqref="K40:K42">
    <x:cfRule type="containsText" dxfId="469" priority="129" operator="containsText" text="부기명 입력">
      <x:formula>NOT(ISERROR(SEARCH("부기명 입력",K40)))</x:formula>
    </x:cfRule>
  </x:conditionalFormatting>
  <x:conditionalFormatting sqref="K40:K42">
    <x:cfRule type="containsText" dxfId="468" priority="128" operator="containsText" text="금액입력">
      <x:formula>NOT(ISERROR(SEARCH("금액입력",K40)))</x:formula>
    </x:cfRule>
  </x:conditionalFormatting>
  <x:conditionalFormatting sqref="L40:L42">
    <x:cfRule type="containsText" dxfId="467" priority="127" operator="containsText" text="금액입력">
      <x:formula>NOT(ISERROR(SEARCH("금액입력",L40)))</x:formula>
    </x:cfRule>
  </x:conditionalFormatting>
  <x:conditionalFormatting sqref="K44:K46">
    <x:cfRule type="containsText" dxfId="466" priority="126" operator="containsText" text="부기명 입력">
      <x:formula>NOT(ISERROR(SEARCH("부기명 입력",K44)))</x:formula>
    </x:cfRule>
  </x:conditionalFormatting>
  <x:conditionalFormatting sqref="K44:K46">
    <x:cfRule type="containsText" dxfId="465" priority="125" operator="containsText" text="금액입력">
      <x:formula>NOT(ISERROR(SEARCH("금액입력",K44)))</x:formula>
    </x:cfRule>
  </x:conditionalFormatting>
  <x:conditionalFormatting sqref="L44:L46">
    <x:cfRule type="containsText" dxfId="464" priority="124" operator="containsText" text="금액입력">
      <x:formula>NOT(ISERROR(SEARCH("금액입력",L44)))</x:formula>
    </x:cfRule>
  </x:conditionalFormatting>
  <x:conditionalFormatting sqref="K44:K46">
    <x:cfRule type="containsText" dxfId="463" priority="123" operator="containsText" text="부기명 입력">
      <x:formula>NOT(ISERROR(SEARCH("부기명 입력",K44)))</x:formula>
    </x:cfRule>
  </x:conditionalFormatting>
  <x:conditionalFormatting sqref="K44:K46">
    <x:cfRule type="containsText" dxfId="462" priority="122" operator="containsText" text="금액입력">
      <x:formula>NOT(ISERROR(SEARCH("금액입력",K44)))</x:formula>
    </x:cfRule>
  </x:conditionalFormatting>
  <x:conditionalFormatting sqref="L44:L46">
    <x:cfRule type="containsText" dxfId="461" priority="121" operator="containsText" text="금액입력">
      <x:formula>NOT(ISERROR(SEARCH("금액입력",L44)))</x:formula>
    </x:cfRule>
  </x:conditionalFormatting>
  <x:conditionalFormatting sqref="K48:K50">
    <x:cfRule type="containsText" dxfId="460" priority="120" operator="containsText" text="부기명 입력">
      <x:formula>NOT(ISERROR(SEARCH("부기명 입력",K48)))</x:formula>
    </x:cfRule>
  </x:conditionalFormatting>
  <x:conditionalFormatting sqref="K48:K50">
    <x:cfRule type="containsText" dxfId="459" priority="119" operator="containsText" text="금액입력">
      <x:formula>NOT(ISERROR(SEARCH("금액입력",K48)))</x:formula>
    </x:cfRule>
  </x:conditionalFormatting>
  <x:conditionalFormatting sqref="L48:L50">
    <x:cfRule type="containsText" dxfId="458" priority="118" operator="containsText" text="금액입력">
      <x:formula>NOT(ISERROR(SEARCH("금액입력",L48)))</x:formula>
    </x:cfRule>
  </x:conditionalFormatting>
  <x:conditionalFormatting sqref="K48:K50">
    <x:cfRule type="containsText" dxfId="457" priority="117" operator="containsText" text="부기명 입력">
      <x:formula>NOT(ISERROR(SEARCH("부기명 입력",K48)))</x:formula>
    </x:cfRule>
  </x:conditionalFormatting>
  <x:conditionalFormatting sqref="K48:K50">
    <x:cfRule type="containsText" dxfId="456" priority="116" operator="containsText" text="금액입력">
      <x:formula>NOT(ISERROR(SEARCH("금액입력",K48)))</x:formula>
    </x:cfRule>
  </x:conditionalFormatting>
  <x:conditionalFormatting sqref="L48:L50">
    <x:cfRule type="containsText" dxfId="455" priority="115" operator="containsText" text="금액입력">
      <x:formula>NOT(ISERROR(SEARCH("금액입력",L48)))</x:formula>
    </x:cfRule>
  </x:conditionalFormatting>
  <x:conditionalFormatting sqref="K52:K54">
    <x:cfRule type="containsText" dxfId="454" priority="114" operator="containsText" text="부기명 입력">
      <x:formula>NOT(ISERROR(SEARCH("부기명 입력",K52)))</x:formula>
    </x:cfRule>
  </x:conditionalFormatting>
  <x:conditionalFormatting sqref="K52:K54">
    <x:cfRule type="containsText" dxfId="453" priority="113" operator="containsText" text="금액입력">
      <x:formula>NOT(ISERROR(SEARCH("금액입력",K52)))</x:formula>
    </x:cfRule>
  </x:conditionalFormatting>
  <x:conditionalFormatting sqref="L52:L54">
    <x:cfRule type="containsText" dxfId="452" priority="112" operator="containsText" text="금액입력">
      <x:formula>NOT(ISERROR(SEARCH("금액입력",L52)))</x:formula>
    </x:cfRule>
  </x:conditionalFormatting>
  <x:conditionalFormatting sqref="K52:K54">
    <x:cfRule type="containsText" dxfId="451" priority="111" operator="containsText" text="부기명 입력">
      <x:formula>NOT(ISERROR(SEARCH("부기명 입력",K52)))</x:formula>
    </x:cfRule>
  </x:conditionalFormatting>
  <x:conditionalFormatting sqref="K52:K54">
    <x:cfRule type="containsText" dxfId="450" priority="110" operator="containsText" text="금액입력">
      <x:formula>NOT(ISERROR(SEARCH("금액입력",K52)))</x:formula>
    </x:cfRule>
  </x:conditionalFormatting>
  <x:conditionalFormatting sqref="L52:L54">
    <x:cfRule type="containsText" dxfId="449" priority="109" operator="containsText" text="금액입력">
      <x:formula>NOT(ISERROR(SEARCH("금액입력",L52)))</x:formula>
    </x:cfRule>
  </x:conditionalFormatting>
  <x:conditionalFormatting sqref="K56:K58">
    <x:cfRule type="containsText" dxfId="448" priority="108" operator="containsText" text="부기명 입력">
      <x:formula>NOT(ISERROR(SEARCH("부기명 입력",K56)))</x:formula>
    </x:cfRule>
  </x:conditionalFormatting>
  <x:conditionalFormatting sqref="K56:K58">
    <x:cfRule type="containsText" dxfId="447" priority="107" operator="containsText" text="금액입력">
      <x:formula>NOT(ISERROR(SEARCH("금액입력",K56)))</x:formula>
    </x:cfRule>
  </x:conditionalFormatting>
  <x:conditionalFormatting sqref="L56:L58">
    <x:cfRule type="containsText" dxfId="446" priority="106" operator="containsText" text="금액입력">
      <x:formula>NOT(ISERROR(SEARCH("금액입력",L56)))</x:formula>
    </x:cfRule>
  </x:conditionalFormatting>
  <x:conditionalFormatting sqref="K56:K58">
    <x:cfRule type="containsText" dxfId="445" priority="105" operator="containsText" text="부기명 입력">
      <x:formula>NOT(ISERROR(SEARCH("부기명 입력",K56)))</x:formula>
    </x:cfRule>
  </x:conditionalFormatting>
  <x:conditionalFormatting sqref="K56:K58">
    <x:cfRule type="containsText" dxfId="444" priority="104" operator="containsText" text="금액입력">
      <x:formula>NOT(ISERROR(SEARCH("금액입력",K56)))</x:formula>
    </x:cfRule>
  </x:conditionalFormatting>
  <x:conditionalFormatting sqref="L56:L58">
    <x:cfRule type="containsText" dxfId="443" priority="103" operator="containsText" text="금액입력">
      <x:formula>NOT(ISERROR(SEARCH("금액입력",L56)))</x:formula>
    </x:cfRule>
  </x:conditionalFormatting>
  <x:conditionalFormatting sqref="K60:K62">
    <x:cfRule type="containsText" dxfId="442" priority="102" operator="containsText" text="부기명 입력">
      <x:formula>NOT(ISERROR(SEARCH("부기명 입력",K60)))</x:formula>
    </x:cfRule>
  </x:conditionalFormatting>
  <x:conditionalFormatting sqref="K60:K62">
    <x:cfRule type="containsText" dxfId="441" priority="101" operator="containsText" text="금액입력">
      <x:formula>NOT(ISERROR(SEARCH("금액입력",K60)))</x:formula>
    </x:cfRule>
  </x:conditionalFormatting>
  <x:conditionalFormatting sqref="L60:L62">
    <x:cfRule type="containsText" dxfId="440" priority="100" operator="containsText" text="금액입력">
      <x:formula>NOT(ISERROR(SEARCH("금액입력",L60)))</x:formula>
    </x:cfRule>
  </x:conditionalFormatting>
  <x:conditionalFormatting sqref="K60:K62">
    <x:cfRule type="containsText" dxfId="439" priority="99" operator="containsText" text="부기명 입력">
      <x:formula>NOT(ISERROR(SEARCH("부기명 입력",K60)))</x:formula>
    </x:cfRule>
  </x:conditionalFormatting>
  <x:conditionalFormatting sqref="K60:K62">
    <x:cfRule type="containsText" dxfId="438" priority="98" operator="containsText" text="금액입력">
      <x:formula>NOT(ISERROR(SEARCH("금액입력",K60)))</x:formula>
    </x:cfRule>
  </x:conditionalFormatting>
  <x:conditionalFormatting sqref="L60:L62">
    <x:cfRule type="containsText" dxfId="437" priority="97" operator="containsText" text="금액입력">
      <x:formula>NOT(ISERROR(SEARCH("금액입력",L60)))</x:formula>
    </x:cfRule>
  </x:conditionalFormatting>
  <x:conditionalFormatting sqref="K64:K66">
    <x:cfRule type="containsText" dxfId="436" priority="96" operator="containsText" text="부기명 입력">
      <x:formula>NOT(ISERROR(SEARCH("부기명 입력",K64)))</x:formula>
    </x:cfRule>
  </x:conditionalFormatting>
  <x:conditionalFormatting sqref="K64:K66">
    <x:cfRule type="containsText" dxfId="435" priority="95" operator="containsText" text="금액입력">
      <x:formula>NOT(ISERROR(SEARCH("금액입력",K64)))</x:formula>
    </x:cfRule>
  </x:conditionalFormatting>
  <x:conditionalFormatting sqref="L64:L66">
    <x:cfRule type="containsText" dxfId="434" priority="94" operator="containsText" text="금액입력">
      <x:formula>NOT(ISERROR(SEARCH("금액입력",L64)))</x:formula>
    </x:cfRule>
  </x:conditionalFormatting>
  <x:conditionalFormatting sqref="K64:K66">
    <x:cfRule type="containsText" dxfId="433" priority="93" operator="containsText" text="부기명 입력">
      <x:formula>NOT(ISERROR(SEARCH("부기명 입력",K64)))</x:formula>
    </x:cfRule>
  </x:conditionalFormatting>
  <x:conditionalFormatting sqref="K64:K66">
    <x:cfRule type="containsText" dxfId="432" priority="92" operator="containsText" text="금액입력">
      <x:formula>NOT(ISERROR(SEARCH("금액입력",K64)))</x:formula>
    </x:cfRule>
  </x:conditionalFormatting>
  <x:conditionalFormatting sqref="L64:L66">
    <x:cfRule type="containsText" dxfId="431" priority="91" operator="containsText" text="금액입력">
      <x:formula>NOT(ISERROR(SEARCH("금액입력",L64)))</x:formula>
    </x:cfRule>
  </x:conditionalFormatting>
  <x:conditionalFormatting sqref="K68:K70">
    <x:cfRule type="containsText" dxfId="430" priority="90" operator="containsText" text="부기명 입력">
      <x:formula>NOT(ISERROR(SEARCH("부기명 입력",K68)))</x:formula>
    </x:cfRule>
  </x:conditionalFormatting>
  <x:conditionalFormatting sqref="K68:K70">
    <x:cfRule type="containsText" dxfId="429" priority="89" operator="containsText" text="금액입력">
      <x:formula>NOT(ISERROR(SEARCH("금액입력",K68)))</x:formula>
    </x:cfRule>
  </x:conditionalFormatting>
  <x:conditionalFormatting sqref="L68:L70">
    <x:cfRule type="containsText" dxfId="428" priority="88" operator="containsText" text="금액입력">
      <x:formula>NOT(ISERROR(SEARCH("금액입력",L68)))</x:formula>
    </x:cfRule>
  </x:conditionalFormatting>
  <x:conditionalFormatting sqref="K68:K70">
    <x:cfRule type="containsText" dxfId="427" priority="87" operator="containsText" text="부기명 입력">
      <x:formula>NOT(ISERROR(SEARCH("부기명 입력",K68)))</x:formula>
    </x:cfRule>
  </x:conditionalFormatting>
  <x:conditionalFormatting sqref="K68:K70">
    <x:cfRule type="containsText" dxfId="426" priority="86" operator="containsText" text="금액입력">
      <x:formula>NOT(ISERROR(SEARCH("금액입력",K68)))</x:formula>
    </x:cfRule>
  </x:conditionalFormatting>
  <x:conditionalFormatting sqref="L68:L70">
    <x:cfRule type="containsText" dxfId="425" priority="85" operator="containsText" text="금액입력">
      <x:formula>NOT(ISERROR(SEARCH("금액입력",L68)))</x:formula>
    </x:cfRule>
  </x:conditionalFormatting>
  <x:conditionalFormatting sqref="K72:K74">
    <x:cfRule type="containsText" dxfId="424" priority="84" operator="containsText" text="부기명 입력">
      <x:formula>NOT(ISERROR(SEARCH("부기명 입력",K72)))</x:formula>
    </x:cfRule>
  </x:conditionalFormatting>
  <x:conditionalFormatting sqref="K72:K74">
    <x:cfRule type="containsText" dxfId="423" priority="83" operator="containsText" text="금액입력">
      <x:formula>NOT(ISERROR(SEARCH("금액입력",K72)))</x:formula>
    </x:cfRule>
  </x:conditionalFormatting>
  <x:conditionalFormatting sqref="L72:L74">
    <x:cfRule type="containsText" dxfId="422" priority="82" operator="containsText" text="금액입력">
      <x:formula>NOT(ISERROR(SEARCH("금액입력",L72)))</x:formula>
    </x:cfRule>
  </x:conditionalFormatting>
  <x:conditionalFormatting sqref="K72:K74">
    <x:cfRule type="containsText" dxfId="421" priority="81" operator="containsText" text="부기명 입력">
      <x:formula>NOT(ISERROR(SEARCH("부기명 입력",K72)))</x:formula>
    </x:cfRule>
  </x:conditionalFormatting>
  <x:conditionalFormatting sqref="K72:K74">
    <x:cfRule type="containsText" dxfId="420" priority="80" operator="containsText" text="금액입력">
      <x:formula>NOT(ISERROR(SEARCH("금액입력",K72)))</x:formula>
    </x:cfRule>
  </x:conditionalFormatting>
  <x:conditionalFormatting sqref="L72:L74">
    <x:cfRule type="containsText" dxfId="419" priority="79" operator="containsText" text="금액입력">
      <x:formula>NOT(ISERROR(SEARCH("금액입력",L72)))</x:formula>
    </x:cfRule>
  </x:conditionalFormatting>
  <x:conditionalFormatting sqref="K76:K78">
    <x:cfRule type="containsText" dxfId="418" priority="78" operator="containsText" text="부기명 입력">
      <x:formula>NOT(ISERROR(SEARCH("부기명 입력",K76)))</x:formula>
    </x:cfRule>
  </x:conditionalFormatting>
  <x:conditionalFormatting sqref="K76:K78">
    <x:cfRule type="containsText" dxfId="417" priority="77" operator="containsText" text="금액입력">
      <x:formula>NOT(ISERROR(SEARCH("금액입력",K76)))</x:formula>
    </x:cfRule>
  </x:conditionalFormatting>
  <x:conditionalFormatting sqref="L76:L78">
    <x:cfRule type="containsText" dxfId="416" priority="76" operator="containsText" text="금액입력">
      <x:formula>NOT(ISERROR(SEARCH("금액입력",L76)))</x:formula>
    </x:cfRule>
  </x:conditionalFormatting>
  <x:conditionalFormatting sqref="K76:K78">
    <x:cfRule type="containsText" dxfId="415" priority="75" operator="containsText" text="부기명 입력">
      <x:formula>NOT(ISERROR(SEARCH("부기명 입력",K76)))</x:formula>
    </x:cfRule>
  </x:conditionalFormatting>
  <x:conditionalFormatting sqref="K76:K78">
    <x:cfRule type="containsText" dxfId="414" priority="74" operator="containsText" text="금액입력">
      <x:formula>NOT(ISERROR(SEARCH("금액입력",K76)))</x:formula>
    </x:cfRule>
  </x:conditionalFormatting>
  <x:conditionalFormatting sqref="L76:L78">
    <x:cfRule type="containsText" dxfId="413" priority="73" operator="containsText" text="금액입력">
      <x:formula>NOT(ISERROR(SEARCH("금액입력",L76)))</x:formula>
    </x:cfRule>
  </x:conditionalFormatting>
  <x:conditionalFormatting sqref="K80:K82">
    <x:cfRule type="containsText" dxfId="412" priority="72" operator="containsText" text="부기명 입력">
      <x:formula>NOT(ISERROR(SEARCH("부기명 입력",K80)))</x:formula>
    </x:cfRule>
  </x:conditionalFormatting>
  <x:conditionalFormatting sqref="K80:K82">
    <x:cfRule type="containsText" dxfId="411" priority="71" operator="containsText" text="금액입력">
      <x:formula>NOT(ISERROR(SEARCH("금액입력",K80)))</x:formula>
    </x:cfRule>
  </x:conditionalFormatting>
  <x:conditionalFormatting sqref="L80:L82">
    <x:cfRule type="containsText" dxfId="410" priority="70" operator="containsText" text="금액입력">
      <x:formula>NOT(ISERROR(SEARCH("금액입력",L80)))</x:formula>
    </x:cfRule>
  </x:conditionalFormatting>
  <x:conditionalFormatting sqref="K80:K82">
    <x:cfRule type="containsText" dxfId="409" priority="69" operator="containsText" text="부기명 입력">
      <x:formula>NOT(ISERROR(SEARCH("부기명 입력",K80)))</x:formula>
    </x:cfRule>
  </x:conditionalFormatting>
  <x:conditionalFormatting sqref="K80:K82">
    <x:cfRule type="containsText" dxfId="408" priority="68" operator="containsText" text="금액입력">
      <x:formula>NOT(ISERROR(SEARCH("금액입력",K80)))</x:formula>
    </x:cfRule>
  </x:conditionalFormatting>
  <x:conditionalFormatting sqref="L80:L82">
    <x:cfRule type="containsText" dxfId="407" priority="67" operator="containsText" text="금액입력">
      <x:formula>NOT(ISERROR(SEARCH("금액입력",L80)))</x:formula>
    </x:cfRule>
  </x:conditionalFormatting>
  <x:conditionalFormatting sqref="K84:K86">
    <x:cfRule type="containsText" dxfId="406" priority="66" operator="containsText" text="부기명 입력">
      <x:formula>NOT(ISERROR(SEARCH("부기명 입력",K84)))</x:formula>
    </x:cfRule>
  </x:conditionalFormatting>
  <x:conditionalFormatting sqref="K84:K86">
    <x:cfRule type="containsText" dxfId="405" priority="65" operator="containsText" text="금액입력">
      <x:formula>NOT(ISERROR(SEARCH("금액입력",K84)))</x:formula>
    </x:cfRule>
  </x:conditionalFormatting>
  <x:conditionalFormatting sqref="L84:L86">
    <x:cfRule type="containsText" dxfId="404" priority="64" operator="containsText" text="금액입력">
      <x:formula>NOT(ISERROR(SEARCH("금액입력",L84)))</x:formula>
    </x:cfRule>
  </x:conditionalFormatting>
  <x:conditionalFormatting sqref="K84:K86">
    <x:cfRule type="containsText" dxfId="403" priority="63" operator="containsText" text="부기명 입력">
      <x:formula>NOT(ISERROR(SEARCH("부기명 입력",K84)))</x:formula>
    </x:cfRule>
  </x:conditionalFormatting>
  <x:conditionalFormatting sqref="K84:K86">
    <x:cfRule type="containsText" dxfId="402" priority="62" operator="containsText" text="금액입력">
      <x:formula>NOT(ISERROR(SEARCH("금액입력",K84)))</x:formula>
    </x:cfRule>
  </x:conditionalFormatting>
  <x:conditionalFormatting sqref="L84:L86">
    <x:cfRule type="containsText" dxfId="401" priority="61" operator="containsText" text="금액입력">
      <x:formula>NOT(ISERROR(SEARCH("금액입력",L84)))</x:formula>
    </x:cfRule>
  </x:conditionalFormatting>
  <x:conditionalFormatting sqref="K88:K90">
    <x:cfRule type="containsText" dxfId="400" priority="60" operator="containsText" text="부기명 입력">
      <x:formula>NOT(ISERROR(SEARCH("부기명 입력",K88)))</x:formula>
    </x:cfRule>
  </x:conditionalFormatting>
  <x:conditionalFormatting sqref="K88:K90">
    <x:cfRule type="containsText" dxfId="399" priority="59" operator="containsText" text="금액입력">
      <x:formula>NOT(ISERROR(SEARCH("금액입력",K88)))</x:formula>
    </x:cfRule>
  </x:conditionalFormatting>
  <x:conditionalFormatting sqref="L88:L90">
    <x:cfRule type="containsText" dxfId="398" priority="58" operator="containsText" text="금액입력">
      <x:formula>NOT(ISERROR(SEARCH("금액입력",L88)))</x:formula>
    </x:cfRule>
  </x:conditionalFormatting>
  <x:conditionalFormatting sqref="K88:K90">
    <x:cfRule type="containsText" dxfId="397" priority="57" operator="containsText" text="부기명 입력">
      <x:formula>NOT(ISERROR(SEARCH("부기명 입력",K88)))</x:formula>
    </x:cfRule>
  </x:conditionalFormatting>
  <x:conditionalFormatting sqref="K88:K90">
    <x:cfRule type="containsText" dxfId="396" priority="56" operator="containsText" text="금액입력">
      <x:formula>NOT(ISERROR(SEARCH("금액입력",K88)))</x:formula>
    </x:cfRule>
  </x:conditionalFormatting>
  <x:conditionalFormatting sqref="L88:L90">
    <x:cfRule type="containsText" dxfId="395" priority="55" operator="containsText" text="금액입력">
      <x:formula>NOT(ISERROR(SEARCH("금액입력",L88)))</x:formula>
    </x:cfRule>
  </x:conditionalFormatting>
  <x:conditionalFormatting sqref="K92:K94">
    <x:cfRule type="containsText" dxfId="394" priority="54" operator="containsText" text="부기명 입력">
      <x:formula>NOT(ISERROR(SEARCH("부기명 입력",K92)))</x:formula>
    </x:cfRule>
  </x:conditionalFormatting>
  <x:conditionalFormatting sqref="K92:K94">
    <x:cfRule type="containsText" dxfId="393" priority="53" operator="containsText" text="금액입력">
      <x:formula>NOT(ISERROR(SEARCH("금액입력",K92)))</x:formula>
    </x:cfRule>
  </x:conditionalFormatting>
  <x:conditionalFormatting sqref="L92:L94">
    <x:cfRule type="containsText" dxfId="392" priority="52" operator="containsText" text="금액입력">
      <x:formula>NOT(ISERROR(SEARCH("금액입력",L92)))</x:formula>
    </x:cfRule>
  </x:conditionalFormatting>
  <x:conditionalFormatting sqref="K92:K94">
    <x:cfRule type="containsText" dxfId="391" priority="51" operator="containsText" text="부기명 입력">
      <x:formula>NOT(ISERROR(SEARCH("부기명 입력",K92)))</x:formula>
    </x:cfRule>
  </x:conditionalFormatting>
  <x:conditionalFormatting sqref="K92:K94">
    <x:cfRule type="containsText" dxfId="390" priority="50" operator="containsText" text="금액입력">
      <x:formula>NOT(ISERROR(SEARCH("금액입력",K92)))</x:formula>
    </x:cfRule>
  </x:conditionalFormatting>
  <x:conditionalFormatting sqref="L92:L94">
    <x:cfRule type="containsText" dxfId="389" priority="49" operator="containsText" text="금액입력">
      <x:formula>NOT(ISERROR(SEARCH("금액입력",L92)))</x:formula>
    </x:cfRule>
  </x:conditionalFormatting>
  <x:conditionalFormatting sqref="K96:K98">
    <x:cfRule type="containsText" dxfId="388" priority="48" operator="containsText" text="부기명 입력">
      <x:formula>NOT(ISERROR(SEARCH("부기명 입력",K96)))</x:formula>
    </x:cfRule>
  </x:conditionalFormatting>
  <x:conditionalFormatting sqref="K96:K98">
    <x:cfRule type="containsText" dxfId="387" priority="47" operator="containsText" text="금액입력">
      <x:formula>NOT(ISERROR(SEARCH("금액입력",K96)))</x:formula>
    </x:cfRule>
  </x:conditionalFormatting>
  <x:conditionalFormatting sqref="L96:L98">
    <x:cfRule type="containsText" dxfId="386" priority="46" operator="containsText" text="금액입력">
      <x:formula>NOT(ISERROR(SEARCH("금액입력",L96)))</x:formula>
    </x:cfRule>
  </x:conditionalFormatting>
  <x:conditionalFormatting sqref="K96:K98">
    <x:cfRule type="containsText" dxfId="385" priority="45" operator="containsText" text="부기명 입력">
      <x:formula>NOT(ISERROR(SEARCH("부기명 입력",K96)))</x:formula>
    </x:cfRule>
  </x:conditionalFormatting>
  <x:conditionalFormatting sqref="K96:K98">
    <x:cfRule type="containsText" dxfId="384" priority="44" operator="containsText" text="금액입력">
      <x:formula>NOT(ISERROR(SEARCH("금액입력",K96)))</x:formula>
    </x:cfRule>
  </x:conditionalFormatting>
  <x:conditionalFormatting sqref="L96:L98">
    <x:cfRule type="containsText" dxfId="383" priority="43" operator="containsText" text="금액입력">
      <x:formula>NOT(ISERROR(SEARCH("금액입력",L96)))</x:formula>
    </x:cfRule>
  </x:conditionalFormatting>
  <x:conditionalFormatting sqref="K100:K102">
    <x:cfRule type="containsText" dxfId="382" priority="42" operator="containsText" text="부기명 입력">
      <x:formula>NOT(ISERROR(SEARCH("부기명 입력",K100)))</x:formula>
    </x:cfRule>
  </x:conditionalFormatting>
  <x:conditionalFormatting sqref="K100:K102">
    <x:cfRule type="containsText" dxfId="381" priority="41" operator="containsText" text="금액입력">
      <x:formula>NOT(ISERROR(SEARCH("금액입력",K100)))</x:formula>
    </x:cfRule>
  </x:conditionalFormatting>
  <x:conditionalFormatting sqref="L100:L102">
    <x:cfRule type="containsText" dxfId="380" priority="40" operator="containsText" text="금액입력">
      <x:formula>NOT(ISERROR(SEARCH("금액입력",L100)))</x:formula>
    </x:cfRule>
  </x:conditionalFormatting>
  <x:conditionalFormatting sqref="K100:K102">
    <x:cfRule type="containsText" dxfId="379" priority="39" operator="containsText" text="부기명 입력">
      <x:formula>NOT(ISERROR(SEARCH("부기명 입력",K100)))</x:formula>
    </x:cfRule>
  </x:conditionalFormatting>
  <x:conditionalFormatting sqref="K100:K102">
    <x:cfRule type="containsText" dxfId="378" priority="38" operator="containsText" text="금액입력">
      <x:formula>NOT(ISERROR(SEARCH("금액입력",K100)))</x:formula>
    </x:cfRule>
  </x:conditionalFormatting>
  <x:conditionalFormatting sqref="L100:L102">
    <x:cfRule type="containsText" dxfId="377" priority="37" operator="containsText" text="금액입력">
      <x:formula>NOT(ISERROR(SEARCH("금액입력",L100)))</x:formula>
    </x:cfRule>
  </x:conditionalFormatting>
  <x:conditionalFormatting sqref="K104:K106">
    <x:cfRule type="containsText" dxfId="376" priority="36" operator="containsText" text="부기명 입력">
      <x:formula>NOT(ISERROR(SEARCH("부기명 입력",K104)))</x:formula>
    </x:cfRule>
  </x:conditionalFormatting>
  <x:conditionalFormatting sqref="K104:K106">
    <x:cfRule type="containsText" dxfId="375" priority="35" operator="containsText" text="금액입력">
      <x:formula>NOT(ISERROR(SEARCH("금액입력",K104)))</x:formula>
    </x:cfRule>
  </x:conditionalFormatting>
  <x:conditionalFormatting sqref="L104:L106">
    <x:cfRule type="containsText" dxfId="374" priority="34" operator="containsText" text="금액입력">
      <x:formula>NOT(ISERROR(SEARCH("금액입력",L104)))</x:formula>
    </x:cfRule>
  </x:conditionalFormatting>
  <x:conditionalFormatting sqref="K104:K106">
    <x:cfRule type="containsText" dxfId="373" priority="33" operator="containsText" text="부기명 입력">
      <x:formula>NOT(ISERROR(SEARCH("부기명 입력",K104)))</x:formula>
    </x:cfRule>
  </x:conditionalFormatting>
  <x:conditionalFormatting sqref="K104:K106">
    <x:cfRule type="containsText" dxfId="372" priority="32" operator="containsText" text="금액입력">
      <x:formula>NOT(ISERROR(SEARCH("금액입력",K104)))</x:formula>
    </x:cfRule>
  </x:conditionalFormatting>
  <x:conditionalFormatting sqref="L104:L106">
    <x:cfRule type="containsText" dxfId="371" priority="31" operator="containsText" text="금액입력">
      <x:formula>NOT(ISERROR(SEARCH("금액입력",L104)))</x:formula>
    </x:cfRule>
  </x:conditionalFormatting>
  <x:conditionalFormatting sqref="K108:K110">
    <x:cfRule type="containsText" dxfId="370" priority="30" operator="containsText" text="부기명 입력">
      <x:formula>NOT(ISERROR(SEARCH("부기명 입력",K108)))</x:formula>
    </x:cfRule>
  </x:conditionalFormatting>
  <x:conditionalFormatting sqref="K108:K110">
    <x:cfRule type="containsText" dxfId="369" priority="29" operator="containsText" text="금액입력">
      <x:formula>NOT(ISERROR(SEARCH("금액입력",K108)))</x:formula>
    </x:cfRule>
  </x:conditionalFormatting>
  <x:conditionalFormatting sqref="L108:L110">
    <x:cfRule type="containsText" dxfId="368" priority="28" operator="containsText" text="금액입력">
      <x:formula>NOT(ISERROR(SEARCH("금액입력",L108)))</x:formula>
    </x:cfRule>
  </x:conditionalFormatting>
  <x:conditionalFormatting sqref="K108:K110">
    <x:cfRule type="containsText" dxfId="367" priority="27" operator="containsText" text="부기명 입력">
      <x:formula>NOT(ISERROR(SEARCH("부기명 입력",K108)))</x:formula>
    </x:cfRule>
  </x:conditionalFormatting>
  <x:conditionalFormatting sqref="K108:K110">
    <x:cfRule type="containsText" dxfId="366" priority="26" operator="containsText" text="금액입력">
      <x:formula>NOT(ISERROR(SEARCH("금액입력",K108)))</x:formula>
    </x:cfRule>
  </x:conditionalFormatting>
  <x:conditionalFormatting sqref="L108:L110">
    <x:cfRule type="containsText" dxfId="365" priority="25" operator="containsText" text="금액입력">
      <x:formula>NOT(ISERROR(SEARCH("금액입력",L108)))</x:formula>
    </x:cfRule>
  </x:conditionalFormatting>
  <x:conditionalFormatting sqref="K112:K114">
    <x:cfRule type="containsText" dxfId="364" priority="24" operator="containsText" text="부기명 입력">
      <x:formula>NOT(ISERROR(SEARCH("부기명 입력",K112)))</x:formula>
    </x:cfRule>
  </x:conditionalFormatting>
  <x:conditionalFormatting sqref="K112:K114">
    <x:cfRule type="containsText" dxfId="363" priority="23" operator="containsText" text="금액입력">
      <x:formula>NOT(ISERROR(SEARCH("금액입력",K112)))</x:formula>
    </x:cfRule>
  </x:conditionalFormatting>
  <x:conditionalFormatting sqref="L112:L114">
    <x:cfRule type="containsText" dxfId="362" priority="22" operator="containsText" text="금액입력">
      <x:formula>NOT(ISERROR(SEARCH("금액입력",L112)))</x:formula>
    </x:cfRule>
  </x:conditionalFormatting>
  <x:conditionalFormatting sqref="K112:K114">
    <x:cfRule type="containsText" dxfId="361" priority="21" operator="containsText" text="부기명 입력">
      <x:formula>NOT(ISERROR(SEARCH("부기명 입력",K112)))</x:formula>
    </x:cfRule>
  </x:conditionalFormatting>
  <x:conditionalFormatting sqref="K112:K114">
    <x:cfRule type="containsText" dxfId="360" priority="20" operator="containsText" text="금액입력">
      <x:formula>NOT(ISERROR(SEARCH("금액입력",K112)))</x:formula>
    </x:cfRule>
  </x:conditionalFormatting>
  <x:conditionalFormatting sqref="L112:L114">
    <x:cfRule type="containsText" dxfId="359" priority="19" operator="containsText" text="금액입력">
      <x:formula>NOT(ISERROR(SEARCH("금액입력",L112)))</x:formula>
    </x:cfRule>
  </x:conditionalFormatting>
  <x:conditionalFormatting sqref="K116:K118">
    <x:cfRule type="containsText" dxfId="358" priority="18" operator="containsText" text="부기명 입력">
      <x:formula>NOT(ISERROR(SEARCH("부기명 입력",K116)))</x:formula>
    </x:cfRule>
  </x:conditionalFormatting>
  <x:conditionalFormatting sqref="K116:K118">
    <x:cfRule type="containsText" dxfId="357" priority="17" operator="containsText" text="금액입력">
      <x:formula>NOT(ISERROR(SEARCH("금액입력",K116)))</x:formula>
    </x:cfRule>
  </x:conditionalFormatting>
  <x:conditionalFormatting sqref="L116:L118">
    <x:cfRule type="containsText" dxfId="356" priority="16" operator="containsText" text="금액입력">
      <x:formula>NOT(ISERROR(SEARCH("금액입력",L116)))</x:formula>
    </x:cfRule>
  </x:conditionalFormatting>
  <x:conditionalFormatting sqref="K116:K118">
    <x:cfRule type="containsText" dxfId="355" priority="15" operator="containsText" text="부기명 입력">
      <x:formula>NOT(ISERROR(SEARCH("부기명 입력",K116)))</x:formula>
    </x:cfRule>
  </x:conditionalFormatting>
  <x:conditionalFormatting sqref="K116:K118">
    <x:cfRule type="containsText" dxfId="354" priority="14" operator="containsText" text="금액입력">
      <x:formula>NOT(ISERROR(SEARCH("금액입력",K116)))</x:formula>
    </x:cfRule>
  </x:conditionalFormatting>
  <x:conditionalFormatting sqref="L116:L118">
    <x:cfRule type="containsText" dxfId="353" priority="13" operator="containsText" text="금액입력">
      <x:formula>NOT(ISERROR(SEARCH("금액입력",L116)))</x:formula>
    </x:cfRule>
  </x:conditionalFormatting>
  <x:conditionalFormatting sqref="K120:K122">
    <x:cfRule type="containsText" dxfId="352" priority="12" operator="containsText" text="부기명 입력">
      <x:formula>NOT(ISERROR(SEARCH("부기명 입력",K120)))</x:formula>
    </x:cfRule>
  </x:conditionalFormatting>
  <x:conditionalFormatting sqref="K120:K122">
    <x:cfRule type="containsText" dxfId="351" priority="11" operator="containsText" text="금액입력">
      <x:formula>NOT(ISERROR(SEARCH("금액입력",K120)))</x:formula>
    </x:cfRule>
  </x:conditionalFormatting>
  <x:conditionalFormatting sqref="L120:L122">
    <x:cfRule type="containsText" dxfId="350" priority="10" operator="containsText" text="금액입력">
      <x:formula>NOT(ISERROR(SEARCH("금액입력",L120)))</x:formula>
    </x:cfRule>
  </x:conditionalFormatting>
  <x:conditionalFormatting sqref="K120:K122">
    <x:cfRule type="containsText" dxfId="349" priority="9" operator="containsText" text="부기명 입력">
      <x:formula>NOT(ISERROR(SEARCH("부기명 입력",K120)))</x:formula>
    </x:cfRule>
  </x:conditionalFormatting>
  <x:conditionalFormatting sqref="K120:K122">
    <x:cfRule type="containsText" dxfId="348" priority="8" operator="containsText" text="금액입력">
      <x:formula>NOT(ISERROR(SEARCH("금액입력",K120)))</x:formula>
    </x:cfRule>
  </x:conditionalFormatting>
  <x:conditionalFormatting sqref="L120:L122">
    <x:cfRule type="containsText" dxfId="347" priority="7" operator="containsText" text="금액입력">
      <x:formula>NOT(ISERROR(SEARCH("금액입력",L120)))</x:formula>
    </x:cfRule>
  </x:conditionalFormatting>
  <x:conditionalFormatting sqref="K124:K126">
    <x:cfRule type="containsText" dxfId="346" priority="6" operator="containsText" text="부기명 입력">
      <x:formula>NOT(ISERROR(SEARCH("부기명 입력",K124)))</x:formula>
    </x:cfRule>
  </x:conditionalFormatting>
  <x:conditionalFormatting sqref="K124:K126">
    <x:cfRule type="containsText" dxfId="345" priority="5" operator="containsText" text="금액입력">
      <x:formula>NOT(ISERROR(SEARCH("금액입력",K124)))</x:formula>
    </x:cfRule>
  </x:conditionalFormatting>
  <x:conditionalFormatting sqref="L124:L126">
    <x:cfRule type="containsText" dxfId="344" priority="4" operator="containsText" text="금액입력">
      <x:formula>NOT(ISERROR(SEARCH("금액입력",L124)))</x:formula>
    </x:cfRule>
  </x:conditionalFormatting>
  <x:conditionalFormatting sqref="K124:K126">
    <x:cfRule type="containsText" dxfId="343" priority="3" operator="containsText" text="부기명 입력">
      <x:formula>NOT(ISERROR(SEARCH("부기명 입력",K124)))</x:formula>
    </x:cfRule>
  </x:conditionalFormatting>
  <x:conditionalFormatting sqref="K124:K126">
    <x:cfRule type="containsText" dxfId="342" priority="2" operator="containsText" text="금액입력">
      <x:formula>NOT(ISERROR(SEARCH("금액입력",K124)))</x:formula>
    </x:cfRule>
  </x:conditionalFormatting>
  <x:conditionalFormatting sqref="L124:L126">
    <x:cfRule type="containsText" dxfId="341" priority="1" operator="containsText" text="금액입력">
      <x:formula>NOT(ISERROR(SEARCH("금액입력",L124)))</x:formula>
    </x:cfRule>
  </x:conditionalFormatting>
  <x:dataValidations count="5">
    <x:dataValidation type="list" allowBlank="1" showInputMessage="1" showErrorMessage="1" sqref="E6:E6">
      <x:formula1>"본예산, 신규"</x:formula1>
    </x:dataValidation>
    <x:dataValidation type="list" allowBlank="1" showInputMessage="1" showErrorMessage="1" sqref="X1:X2 X4:X7 AH55:AI55 AH7:AI7 AK7:AK7 AH67:AI67 AK67:AK67 AK55:AK55 X127:X1048576 AH107:AI107 AK107:AK107 AH103:AI103 AK103:AK103 AH11:AI11 AK11:AK11 AH59:AI59 AK59:AK59 AH15:AI15 AK15:AK15 AH95:AI95 AK95:AK95 AH19:AI19 AK19:AK19 AH79:AI79 AK79:AK79 AH23:AI23 AK23:AK23 AH99:AI99 AK99:AK99 AH27:AI27 AK27:AK27 AH71:AI71 AK71:AK71 AH31:AI31 AK31:AK31 AH91:AI91 AK91:AK91 AH35:AI35 AK35:AK35 AH63:AI63 AK63:AK63 AH39:AI39 AK39:AK39 AH87:AI87 AK87:AK87 AH43:AI43 AK43:AK43 AH75:AI75 AK75:AK75 AH47:AI47 AK47:AK47 AH83:AI83 AK83:AK83 AH51:AI51 AK51:AK51 AH123:AI123 AK123:AK123 AH111:AI111 AK111:AK111 AH119:AI119 AK119:AK119 AH115:AI115 AK115:AK115">
      <x:formula1>"2차"</x:formula1>
    </x:dataValidation>
    <x:dataValidation type="list" allowBlank="1" showInputMessage="1" showErrorMessage="1" sqref="AI92:AI94 AI104:AI106 AI120:AI122 AI112:AI114 AI8:AI10 AI12:AI14 AI16:AI18 AI20:AI22 AI24:AI26 AI28:AI30 AI32:AI34 AI36:AI38 AI40:AI42 AI44:AI46 AI48:AI50 AI52:AI54 AI56:AI58 AI60:AI62 AI64:AI66 AI68:AI70 AI72:AI74 AI76:AI78 AI80:AI82 AI84:AI86 AI88:AI90 AI96:AI98 AI100:AI102 AI116:AI118 AI108:AI110 AI124:AI126">
      <x:formula1>"도비,국비,균특,기금,특교,소교"</x:formula1>
    </x:dataValidation>
    <x:dataValidation type="list" allowBlank="1" showInputMessage="1" showErrorMessage="1" sqref="U8:U10 U96:U98 U104:U106 U112:U114 U12:U14 U16:U18 U20:U22 U24:U26 U28:U30 U32:U34 U36:U38 U40:U42 U44:U46 U48:U50 U52:U54 U56:U58 U60:U62 U64:U66 U68:U70 U72:U74 U76:U78 U80:U82 U84:U86 U88:U90 U92:U94 U100:U102 X104:X106 X112:X114 X8:X10 X12:X14 X16:X18 X20:X22 X24:X26 X28:X30 X32:X34 X36:X38 X40:X42 X44:X46 X48:X50 X52:X54 X56:X58 X60:X62 X64:X66 X68:X70 X72:X74 X76:X78 X80:X82 X84:X86 X88:X90 X92:X94 X96:X98 U108:U110 U120:U122 X100:X102 X120:X122 U116:U118 X116:X118 X108:X110 U124:U126 X124:X126">
      <x:formula1>"동의, 부동의, 미실시"</x:formula1>
    </x:dataValidation>
    <x:dataValidation type="list" allowBlank="1" showInputMessage="1" showErrorMessage="1" sqref="E116:E118 E120:E122 E8:E10 E12:E14 E16:E18 E20:E22 E24:E26 E28:E30 E32:E34 E36:E38 E40:E42 E44:E46 E48:E50 E52:E54 E56:E58 E60:E62 E64:E66 E68:E70 E72:E74 E76:E78 E80:E82 E84:E86 E88:E90 E92:E94 E96:E98 E100:E102 E104:E106 E108:E110 E112:E114 E124:E126">
      <x:formula1>"본예산, 1추, 2추, 신규"</x:formula1>
    </x:dataValidation>
  </x:dataValidations>
  <x:printOptions horizontalCentered="1" verticalCentered="0" headings="0" gridLines="0" gridLinesSet="1"/>
  <x:pageMargins left="0.31486111879348755" right="0.31486111879348755" top="0.55111110210418701" bottom="0.55111110210418701" header="0.31486111879348755" footer="0.31486111879348755"/>
  <x:pageSetup paperSize="8" scale="24" firstPageNumber="1" fitToWidth="1" fitToHeight="0" orientation="landscape" usePrinterDefaults="1" blackAndWhite="0" draft="0" useFirstPageNumber="0" horizontalDpi="600" verticalDpi="600" copies="1"/>
  <x:headerFooter>
    <x:oddFooter>&amp;C&amp;"맑은 고딕,Regular"&amp;P</x:oddFooter>
  </x:headerFooter>
  <x:rowBreaks count="2" manualBreakCount="2">
    <x:brk id="29" min="0" max="1048575" man="1" pt="0"/>
    <x:brk id="57" min="0" max="1048575" man="1" pt="0"/>
  </x:rowBreaks>
  <x:legacyDrawing r:id="rId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>
    <x:tabColor rgb="ff00b050"/>
    <x:pageSetUpPr autoPageBreaks="1" fitToPage="1"/>
  </x:sheetPr>
  <x:dimension ref="A1:AN151"/>
  <x:sheetViews>
    <x:sheetView view="pageBreakPreview" topLeftCell="A1" zoomScale="25" zoomScaleNormal="60" zoomScaleSheetLayoutView="25" workbookViewId="0">
      <x:pane xSplit="0" ySplit="6" topLeftCell="A80" activePane="bottomLeft" state="frozen"/>
      <x:selection pane="bottomLeft" activeCell="B78" activeCellId="0" sqref="B78:B78"/>
    </x:sheetView>
  </x:sheetViews>
  <x:sheetFormatPr defaultColWidth="9" defaultRowHeight="50.100000000000001" customHeight="1"/>
  <x:cols>
    <x:col min="1" max="1" width="7.125" style="23" bestFit="1" customWidth="1"/>
    <x:col min="2" max="2" width="28.25" style="49" bestFit="1" customWidth="1"/>
    <x:col min="3" max="3" width="22.125" style="49" bestFit="1" customWidth="1"/>
    <x:col min="4" max="4" width="16.25" style="49" bestFit="1" customWidth="1"/>
    <x:col min="5" max="5" width="9" style="49" bestFit="1" customWidth="1"/>
    <x:col min="6" max="6" width="15.625" style="21" customWidth="1"/>
    <x:col min="7" max="7" width="15.625" style="23" customWidth="1"/>
    <x:col min="8" max="10" width="16.25" style="21" bestFit="1" customWidth="1"/>
    <x:col min="11" max="12" width="35.625" style="451" customWidth="1"/>
    <x:col min="13" max="14" width="25.625" style="451" customWidth="1"/>
    <x:col min="15" max="18" width="25.625" style="454" customWidth="1"/>
    <x:col min="19" max="19" width="25.625" style="478" customWidth="1"/>
    <x:col min="20" max="20" width="12.5" style="21" customWidth="1"/>
    <x:col min="21" max="21" width="16.75" style="32" customWidth="1"/>
    <x:col min="22" max="22" width="28.75" style="33" customWidth="1"/>
    <x:col min="23" max="23" width="16.5" style="34" bestFit="1" customWidth="1"/>
    <x:col min="24" max="24" width="25.625" style="22" customWidth="1"/>
    <x:col min="25" max="25" width="14.625" style="22" customWidth="1"/>
    <x:col min="26" max="26" width="15.625" style="21" customWidth="1"/>
    <x:col min="27" max="27" width="3.625" style="21" customWidth="1"/>
    <x:col min="28" max="29" width="20.625" style="454" customWidth="1"/>
    <x:col min="30" max="30" width="17.25" style="21" customWidth="1"/>
    <x:col min="31" max="31" width="3.125" style="21" customWidth="1"/>
    <x:col min="32" max="33" width="20.625" style="454" customWidth="1"/>
    <x:col min="34" max="34" width="17.25" style="21" customWidth="1"/>
    <x:col min="35" max="35" width="2.625" style="21" customWidth="1"/>
    <x:col min="36" max="36" width="26.25" style="21" customWidth="1"/>
    <x:col min="37" max="37" width="9" style="44" customWidth="1"/>
    <x:col min="38" max="38" width="13.125" style="21" customWidth="1"/>
    <x:col min="39" max="39" width="7.625" style="21" customWidth="1"/>
    <x:col min="40" max="40" width="13.125" style="21" customWidth="1"/>
    <x:col min="41" max="41" width="9" style="21" customWidth="1"/>
    <x:col min="42" max="16384" width="9" style="21"/>
  </x:cols>
  <x:sheetData>
    <x:row r="1" spans="1:40" s="355" customFormat="1" ht="93" customHeight="1">
      <x:c r="A1" s="914" t="s">
        <x:v>1441</x:v>
      </x:c>
      <x:c r="B1" s="914"/>
      <x:c r="C1" s="914"/>
      <x:c r="D1" s="914"/>
      <x:c r="E1" s="914"/>
      <x:c r="F1" s="914"/>
      <x:c r="G1" s="914"/>
      <x:c r="H1" s="914"/>
      <x:c r="I1" s="914"/>
      <x:c r="J1" s="914"/>
      <x:c r="K1" s="914"/>
      <x:c r="L1" s="914"/>
      <x:c r="M1" s="914"/>
      <x:c r="N1" s="914"/>
      <x:c r="O1" s="914"/>
      <x:c r="P1" s="914"/>
      <x:c r="Q1" s="914"/>
      <x:c r="R1" s="914"/>
      <x:c r="S1" s="914"/>
      <x:c r="T1" s="914"/>
      <x:c r="U1" s="914"/>
      <x:c r="V1" s="914"/>
      <x:c r="W1" s="914"/>
      <x:c r="X1" s="914"/>
      <x:c r="Y1" s="914"/>
      <x:c r="Z1" s="914"/>
      <x:c r="AB1" s="908" t="s">
        <x:v>1469</x:v>
      </x:c>
      <x:c r="AC1" s="909"/>
      <x:c r="AD1" s="910"/>
      <x:c r="AE1" s="1"/>
      <x:c r="AF1" s="911" t="s">
        <x:v>1469</x:v>
      </x:c>
      <x:c r="AG1" s="912"/>
      <x:c r="AH1" s="913"/>
      <x:c r="AI1" s="21"/>
      <x:c r="AJ1" s="905" t="s">
        <x:v>418</x:v>
      </x:c>
      <x:c r="AK1" s="906"/>
      <x:c r="AL1" s="906"/>
      <x:c r="AM1" s="906"/>
      <x:c r="AN1" s="907"/>
    </x:row>
    <x:row r="2" spans="2:34" ht="22.5">
      <x:c r="B2" s="915"/>
      <x:c r="C2" s="915"/>
      <x:c r="D2" s="915"/>
      <x:c r="E2" s="915"/>
      <x:c r="F2" s="915"/>
      <x:c r="G2" s="915"/>
      <x:c r="H2" s="915"/>
      <x:c r="I2" s="915"/>
      <x:c r="J2" s="915"/>
      <x:c r="K2" s="915"/>
      <x:c r="L2" s="915"/>
      <x:c r="M2" s="550"/>
      <x:c r="N2" s="550"/>
      <x:c r="O2" s="496"/>
      <x:c r="P2" s="473">
        <x:f t="shared" ref="P2:S3" si="0">SUM(P6:P223)/2</x:f>
        <x:v>1350000</x:v>
      </x:c>
      <x:c r="Q2" s="473">
        <x:f t="shared" si="0"/>
        <x:v>4500000</x:v>
      </x:c>
      <x:c r="R2" s="473">
        <x:f t="shared" si="0"/>
        <x:v>0</x:v>
      </x:c>
      <x:c r="S2" s="473">
        <x:f t="shared" si="0"/>
        <x:v>3150000</x:v>
      </x:c>
      <x:c r="T2" s="74"/>
      <x:c r="U2" s="31"/>
      <x:c r="V2" s="31"/>
      <x:c r="W2" s="35"/>
      <x:c r="X2" s="71"/>
      <x:c r="Y2" s="184"/>
      <x:c r="Z2" s="71"/>
      <x:c r="AB2" s="505" t="s">
        <x:v>450</x:v>
      </x:c>
      <x:c r="AC2" s="505" t="s">
        <x:v>447</x:v>
      </x:c>
      <x:c r="AD2" s="384"/>
      <x:c r="AF2" s="505" t="s">
        <x:v>450</x:v>
      </x:c>
      <x:c r="AG2" s="505" t="s">
        <x:v>447</x:v>
      </x:c>
      <x:c r="AH2" s="384"/>
    </x:row>
    <x:row r="3" spans="2:40" ht="39.75" customHeight="1">
      <x:c r="B3" s="915"/>
      <x:c r="C3" s="915"/>
      <x:c r="D3" s="915"/>
      <x:c r="E3" s="915"/>
      <x:c r="F3" s="915"/>
      <x:c r="G3" s="915"/>
      <x:c r="H3" s="915"/>
      <x:c r="I3" s="915"/>
      <x:c r="J3" s="915"/>
      <x:c r="K3" s="915"/>
      <x:c r="L3" s="915"/>
      <x:c r="M3" s="550"/>
      <x:c r="N3" s="550"/>
      <x:c r="O3" s="496"/>
      <x:c r="P3" s="473">
        <x:f t="shared" si="0"/>
        <x:v>900000</x:v>
      </x:c>
      <x:c r="Q3" s="473">
        <x:f t="shared" si="0"/>
        <x:v>3000000</x:v>
      </x:c>
      <x:c r="R3" s="473">
        <x:f t="shared" si="0"/>
        <x:v>0</x:v>
      </x:c>
      <x:c r="S3" s="473">
        <x:f t="shared" si="0"/>
        <x:v>2100000</x:v>
      </x:c>
      <x:c r="T3" s="74"/>
      <x:c r="U3" s="31"/>
      <x:c r="V3" s="31"/>
      <x:c r="W3" s="35"/>
      <x:c r="X3" s="71"/>
      <x:c r="Y3" s="184" t="s">
        <x:v>1513</x:v>
      </x:c>
      <x:c r="Z3" s="71" t="s">
        <x:v>1513</x:v>
      </x:c>
      <x:c r="AB3" s="468" t="str">
        <x:f>IF(AB6='5. 기입'!Z6,"OK","@@")</x:f>
        <x:v>OK</x:v>
      </x:c>
      <x:c r="AC3" s="468" t="str">
        <x:f>IF(AC6='5. 기입'!AA6,"OK","@@")</x:f>
        <x:v>@@</x:v>
      </x:c>
      <x:c r="AD3" s="384" t="s">
        <x:v>1513</x:v>
      </x:c>
      <x:c r="AF3" s="468" t="str">
        <x:f>IF(AF6='5. 기입'!AD6,"OK","@@")</x:f>
        <x:v>OK</x:v>
      </x:c>
      <x:c r="AG3" s="468" t="str">
        <x:f>IF(AG6='5. 기입'!AE6,"OK","@@")</x:f>
        <x:v>OK</x:v>
      </x:c>
      <x:c r="AH3" s="384" t="s">
        <x:v>1513</x:v>
      </x:c>
      <x:c r="AJ3" s="1013" t="s">
        <x:v>99</x:v>
      </x:c>
      <x:c r="AK3" s="1013"/>
      <x:c r="AL3" s="1013"/>
      <x:c r="AM3" s="1013"/>
      <x:c r="AN3" s="1013"/>
    </x:row>
    <x:row r="4" spans="1:40" s="329" customFormat="1" ht="60" customHeight="1">
      <x:c r="A4" s="893" t="s">
        <x:v>116</x:v>
      </x:c>
      <x:c r="B4" s="904" t="s">
        <x:v>1933</x:v>
      </x:c>
      <x:c r="C4" s="904" t="s">
        <x:v>74</x:v>
      </x:c>
      <x:c r="D4" s="904" t="s">
        <x:v>94</x:v>
      </x:c>
      <x:c r="E4" s="894" t="s">
        <x:v>1320</x:v>
      </x:c>
      <x:c r="F4" s="894" t="s">
        <x:v>1646</x:v>
      </x:c>
      <x:c r="G4" s="894" t="s">
        <x:v>1620</x:v>
      </x:c>
      <x:c r="H4" s="893" t="s">
        <x:v>725</x:v>
      </x:c>
      <x:c r="I4" s="893" t="s">
        <x:v>115</x:v>
      </x:c>
      <x:c r="J4" s="893" t="s">
        <x:v>104</x:v>
      </x:c>
      <x:c r="K4" s="893" t="s">
        <x:v>854</x:v>
      </x:c>
      <x:c r="L4" s="893" t="s">
        <x:v>127</x:v>
      </x:c>
      <x:c r="M4" s="889" t="s">
        <x:v>1412</x:v>
      </x:c>
      <x:c r="N4" s="889" t="s">
        <x:v>1678</x:v>
      </x:c>
      <x:c r="O4" s="889" t="s">
        <x:v>443</x:v>
      </x:c>
      <x:c r="P4" s="902" t="s">
        <x:v>1661</x:v>
      </x:c>
      <x:c r="Q4" s="891" t="s">
        <x:v>1357</x:v>
      </x:c>
      <x:c r="R4" s="902" t="s">
        <x:v>1636</x:v>
      </x:c>
      <x:c r="S4" s="891" t="s">
        <x:v>1359</x:v>
      </x:c>
      <x:c r="T4" s="899" t="s">
        <x:v>1543</x:v>
      </x:c>
      <x:c r="U4" s="891" t="s">
        <x:v>1550</x:v>
      </x:c>
      <x:c r="V4" s="891" t="s">
        <x:v>1549</x:v>
      </x:c>
      <x:c r="W4" s="891" t="s">
        <x:v>1619</x:v>
      </x:c>
      <x:c r="X4" s="899" t="s">
        <x:v>1492</x:v>
      </x:c>
      <x:c r="Y4" s="899" t="s">
        <x:v>551</x:v>
      </x:c>
      <x:c r="Z4" s="899" t="s">
        <x:v>1514</x:v>
      </x:c>
      <x:c r="AB4" s="897" t="s">
        <x:v>1522</x:v>
      </x:c>
      <x:c r="AC4" s="897"/>
      <x:c r="AD4" s="897"/>
      <x:c r="AF4" s="898" t="s">
        <x:v>1517</x:v>
      </x:c>
      <x:c r="AG4" s="898"/>
      <x:c r="AH4" s="898"/>
      <x:c r="AJ4" s="896" t="s">
        <x:v>1322</x:v>
      </x:c>
      <x:c r="AK4" s="955" t="s">
        <x:v>1527</x:v>
      </x:c>
      <x:c r="AL4" s="1011" t="s">
        <x:v>64</x:v>
      </x:c>
      <x:c r="AM4" s="896" t="s">
        <x:v>98</x:v>
      </x:c>
      <x:c r="AN4" s="955" t="s">
        <x:v>1039</x:v>
      </x:c>
    </x:row>
    <x:row r="5" spans="1:40" s="329" customFormat="1" ht="60" customHeight="1">
      <x:c r="A5" s="893"/>
      <x:c r="B5" s="904"/>
      <x:c r="C5" s="904"/>
      <x:c r="D5" s="904"/>
      <x:c r="E5" s="894"/>
      <x:c r="F5" s="894"/>
      <x:c r="G5" s="894"/>
      <x:c r="H5" s="893"/>
      <x:c r="I5" s="893"/>
      <x:c r="J5" s="893"/>
      <x:c r="K5" s="893"/>
      <x:c r="L5" s="893"/>
      <x:c r="M5" s="890"/>
      <x:c r="N5" s="890"/>
      <x:c r="O5" s="890"/>
      <x:c r="P5" s="903"/>
      <x:c r="Q5" s="892"/>
      <x:c r="R5" s="903"/>
      <x:c r="S5" s="892"/>
      <x:c r="T5" s="899"/>
      <x:c r="U5" s="891"/>
      <x:c r="V5" s="891"/>
      <x:c r="W5" s="891"/>
      <x:c r="X5" s="899"/>
      <x:c r="Y5" s="899"/>
      <x:c r="Z5" s="893"/>
      <x:c r="AB5" s="493" t="s">
        <x:v>1325</x:v>
      </x:c>
      <x:c r="AC5" s="493" t="s">
        <x:v>91</x:v>
      </x:c>
      <x:c r="AD5" s="351" t="s">
        <x:v>1029</x:v>
      </x:c>
      <x:c r="AF5" s="469" t="s">
        <x:v>1325</x:v>
      </x:c>
      <x:c r="AG5" s="469" t="s">
        <x:v>91</x:v>
      </x:c>
      <x:c r="AH5" s="379" t="s">
        <x:v>1029</x:v>
      </x:c>
      <x:c r="AJ5" s="896"/>
      <x:c r="AK5" s="956"/>
      <x:c r="AL5" s="1012"/>
      <x:c r="AM5" s="896"/>
      <x:c r="AN5" s="956"/>
    </x:row>
    <x:row r="6" spans="1:40" s="396" customFormat="1" ht="80.099999999999994" customHeight="1">
      <x:c r="A6" s="432"/>
      <x:c r="B6" s="181" t="s">
        <x:v>1323</x:v>
      </x:c>
      <x:c r="C6" s="423" t="s">
        <x:v>100</x:v>
      </x:c>
      <x:c r="D6" s="424"/>
      <x:c r="E6" s="425"/>
      <x:c r="F6" s="433"/>
      <x:c r="G6" s="433"/>
      <x:c r="H6" s="433"/>
      <x:c r="I6" s="433"/>
      <x:c r="J6" s="433"/>
      <x:c r="K6" s="434" t="s">
        <x:v>100</x:v>
      </x:c>
      <x:c r="L6" s="441" t="str">
        <x:f>SUBTOTAL(3,L$7:L$2012)&amp;"건"</x:f>
        <x:v>1건</x:v>
      </x:c>
      <x:c r="M6" s="497">
        <x:f t="shared" ref="M6:N6" si="1">SUBTOTAL(9,M$7:M$2012)</x:f>
        <x:v>3000000</x:v>
      </x:c>
      <x:c r="N6" s="497">
        <x:f t="shared" si="1"/>
        <x:v>-900000</x:v>
      </x:c>
      <x:c r="O6" s="497">
        <x:f>SUBTOTAL(9,O$7:O$2012)</x:f>
        <x:v>2100000</x:v>
      </x:c>
      <x:c r="P6" s="497">
        <x:f>SUBTOTAL(9,P$7:P$2012)</x:f>
        <x:v>900000</x:v>
      </x:c>
      <x:c r="Q6" s="497">
        <x:f>SUBTOTAL(9,Q$7:Q$2012)</x:f>
        <x:v>3000000</x:v>
      </x:c>
      <x:c r="R6" s="497">
        <x:f>SUBTOTAL(9,R$7:R$2012)</x:f>
        <x:v>0</x:v>
      </x:c>
      <x:c r="S6" s="497">
        <x:f>SUBTOTAL(9,S$7:S$2012)</x:f>
        <x:v>2100000</x:v>
      </x:c>
      <x:c r="T6" s="433"/>
      <x:c r="U6" s="435"/>
      <x:c r="V6" s="436"/>
      <x:c r="W6" s="432"/>
      <x:c r="X6" s="437"/>
      <x:c r="Y6" s="437"/>
      <x:c r="Z6" s="432"/>
      <x:c r="AB6" s="497">
        <x:f>SUBTOTAL(9,AB$7:AB$2012)</x:f>
        <x:v>0</x:v>
      </x:c>
      <x:c r="AC6" s="497">
        <x:f>SUBTOTAL(9,AC$7:AC$2012)</x:f>
        <x:v>900000</x:v>
      </x:c>
      <x:c r="AD6" s="394" t="str">
        <x:f>IF(COUNTIF(AD$8:AD$2012,"@@")&gt;0,"@@","OK")</x:f>
        <x:v>OK</x:v>
      </x:c>
      <x:c r="AE6" s="429"/>
      <x:c r="AF6" s="497">
        <x:f>SUBTOTAL(9,AF$7:AF$1013)</x:f>
        <x:v>0</x:v>
      </x:c>
      <x:c r="AG6" s="497">
        <x:f>SUBTOTAL(9,AG$7:AG$1013)</x:f>
        <x:v>0</x:v>
      </x:c>
      <x:c r="AH6" s="394" t="str">
        <x:f>IF(COUNTIF(AH$8:AH$2012,"@@")&gt;0,"@@","OK")</x:f>
        <x:v>OK</x:v>
      </x:c>
      <x:c r="AJ6" s="394"/>
      <x:c r="AK6" s="180"/>
      <x:c r="AL6" s="394" t="str">
        <x:f>IF(COUNTIF(AL$8:AL$2012,"@@")&gt;0,"@@","OK")</x:f>
        <x:v>OK</x:v>
      </x:c>
      <x:c r="AM6" s="400"/>
      <x:c r="AN6" s="394" t="str">
        <x:f>IF(COUNTIF(AN$8:AN$2012,"@@")&gt;0,"@@","OK")</x:f>
        <x:v>OK</x:v>
      </x:c>
    </x:row>
    <x:row r="7" spans="1:40" ht="60" customHeight="1">
      <x:c r="A7" s="167"/>
      <x:c r="B7" s="888" t="s">
        <x:v>1657</x:v>
      </x:c>
      <x:c r="C7" s="888"/>
      <x:c r="D7" s="888"/>
      <x:c r="E7" s="888"/>
      <x:c r="F7" s="888"/>
      <x:c r="G7" s="888"/>
      <x:c r="H7" s="888"/>
      <x:c r="I7" s="888"/>
      <x:c r="J7" s="888"/>
      <x:c r="K7" s="168"/>
      <x:c r="L7" s="363" t="str">
        <x:f>SUBTOTAL(3,L8:L10)&amp;"건"</x:f>
        <x:v>0건</x:v>
      </x:c>
      <x:c r="M7" s="477">
        <x:f t="shared" ref="M7:S7" si="2">SUBTOTAL(9,M8:M10)</x:f>
        <x:v>0</x:v>
      </x:c>
      <x:c r="N7" s="477">
        <x:f t="shared" si="2"/>
        <x:v>0</x:v>
      </x:c>
      <x:c r="O7" s="477">
        <x:f t="shared" si="2"/>
        <x:v>0</x:v>
      </x:c>
      <x:c r="P7" s="477">
        <x:f t="shared" si="2"/>
        <x:v>0</x:v>
      </x:c>
      <x:c r="Q7" s="477">
        <x:f t="shared" si="2"/>
        <x:v>0</x:v>
      </x:c>
      <x:c r="R7" s="477">
        <x:f t="shared" si="2"/>
        <x:v>0</x:v>
      </x:c>
      <x:c r="S7" s="477">
        <x:f t="shared" si="2"/>
        <x:v>0</x:v>
      </x:c>
      <x:c r="T7" s="167"/>
      <x:c r="U7" s="169"/>
      <x:c r="V7" s="169"/>
      <x:c r="W7" s="167"/>
      <x:c r="X7" s="178"/>
      <x:c r="Y7" s="170"/>
      <x:c r="Z7" s="81"/>
      <x:c r="AA7" s="44"/>
      <x:c r="AB7" s="477">
        <x:f>SUBTOTAL(9,AB8:AB10)</x:f>
        <x:v>0</x:v>
      </x:c>
      <x:c r="AC7" s="477">
        <x:f>SUBTOTAL(9,AC8:AC10)</x:f>
        <x:v>0</x:v>
      </x:c>
      <x:c r="AD7" s="556" t="str">
        <x:f>IF(COUNTIF(AD8:AD10,"@@")&gt;0,"@@","OK")</x:f>
        <x:v>OK</x:v>
      </x:c>
      <x:c r="AE7" s="53"/>
      <x:c r="AF7" s="477">
        <x:f>SUBTOTAL(9,AF8:AF10)</x:f>
        <x:v>0</x:v>
      </x:c>
      <x:c r="AG7" s="477">
        <x:f>SUBTOTAL(9,AG8:AG10)</x:f>
        <x:v>0</x:v>
      </x:c>
      <x:c r="AH7" s="556" t="str">
        <x:f>IF(COUNTIF(AH8:AH10,"@@")&gt;0,"@@","OK")</x:f>
        <x:v>OK</x:v>
      </x:c>
      <x:c r="AI7" s="44"/>
      <x:c r="AJ7" s="81"/>
      <x:c r="AK7" s="81"/>
      <x:c r="AL7" s="556" t="str">
        <x:f>IF(COUNTIF(AL8:AL10,"@@")&gt;0,"@@","OK")</x:f>
        <x:v>OK</x:v>
      </x:c>
      <x:c r="AM7" s="81"/>
      <x:c r="AN7" s="556" t="str">
        <x:f>IF(COUNTIF(AN8:AN10,"@@")&gt;0,"@@","OK")</x:f>
        <x:v>OK</x:v>
      </x:c>
    </x:row>
    <x:row r="8" spans="1:40" s="20" customFormat="1" ht="80.099999999999994" customHeight="1">
      <x:c r="A8" s="155" t="str">
        <x:f>IF(D8="","",COUNTA($C$7:C8)-COUNTBLANK($C$7:C8)+1)</x:f>
        <x:v/>
      </x:c>
      <x:c r="B8" s="156" t="str">
        <x: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x:f>
        <x:v/>
      </x:c>
      <x:c r="C8" s="156" t="str">
        <x:f>IF(D8="","",IF(OR(D8="교육지원과",D8="총무과",D8="인사과"),"직접입력",VLOOKUP(D8,구분표!$A$3:$C$258,3,)))</x:f>
        <x:v/>
      </x:c>
      <x:c r="D8" s="226"/>
      <x:c r="E8" s="213"/>
      <x:c r="F8" s="388" t="str">
        <x:f>IF($E8="","",IF($E8="2추","직접입력","-"))</x:f>
        <x:v/>
      </x:c>
      <x:c r="G8" s="388" t="str">
        <x:f>IF($E8="","",IF($E8="2추","직접입력","-"))</x:f>
        <x:v/>
      </x:c>
      <x:c r="H8" s="213"/>
      <x:c r="I8" s="156" t="str">
        <x:f>IF(H8="","",VLOOKUP($H8,구분표!$K$3:$M$147,2,FALSE))</x:f>
        <x:v/>
      </x:c>
      <x:c r="J8" s="156" t="str">
        <x:f>IF(I8="","",VLOOKUP($H8,구분표!$K$3:$M$147,3,FALSE))</x:f>
        <x:v/>
      </x:c>
      <x:c r="K8" s="233"/>
      <x:c r="L8" s="233"/>
      <x:c r="M8" s="459" t="str">
        <x:f>IF($E8="","",IF(OR($E8="2추",$E8="1추",$E8="본예산"),"금액입력","-"))</x:f>
        <x:v/>
      </x:c>
      <x:c r="N8" s="459" t="str">
        <x:f>IF($E8="","",IF($E8="2추","금액입력","-"))</x:f>
        <x:v/>
      </x:c>
      <x:c r="O8" s="461" t="str">
        <x:f>IF($E8="","",SUM(M8:N8))</x:f>
        <x:v/>
      </x:c>
      <x:c r="P8" s="460"/>
      <x:c r="Q8" s="461">
        <x:f>SUM(O8:P8)</x:f>
        <x:v>0</x:v>
      </x:c>
      <x:c r="R8" s="462"/>
      <x:c r="S8" s="463">
        <x:f>SUM(O8,R8)</x:f>
        <x:v>0</x:v>
      </x:c>
      <x:c r="T8" s="162" t="str">
        <x:f>IF(AND((Q8=0),(S8&gt;0)),"O",IF(AND((P8&lt;0),(Q8-S8&lt;0)),"O","X"))</x:f>
        <x:v>X</x:v>
      </x:c>
      <x:c r="U8" s="230"/>
      <x:c r="V8" s="224"/>
      <x:c r="W8" s="217"/>
      <x:c r="X8" s="234"/>
      <x:c r="Y8" s="217"/>
      <x:c r="Z8" s="356" t="str">
        <x:f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x:f>
        <x:v/>
      </x:c>
      <x:c r="AA8" s="61"/>
      <x:c r="AB8" s="486" t="str">
        <x:f>IF($Z8="","",IF($Z8="국도비","금액입력",0))</x:f>
        <x:v/>
      </x:c>
      <x:c r="AC8" s="487">
        <x:f>IFERROR(P8-AB8,0)</x:f>
        <x:v>0</x:v>
      </x:c>
      <x:c r="AD8" s="356" t="str">
        <x:f t="shared" ref="AD8:AD72" si="3">IF($P8=SUM($AB8:$AC8),"OK","@@")</x:f>
        <x:v>OK</x:v>
      </x:c>
      <x:c r="AE8" s="8"/>
      <x:c r="AF8" s="502" t="str">
        <x:f>IF($Z8="","",IF($Z8="국도비","금액입력",0))</x:f>
        <x:v/>
      </x:c>
      <x:c r="AG8" s="503">
        <x:f>IFERROR(R8-AF8,0)</x:f>
        <x:v>0</x:v>
      </x:c>
      <x:c r="AH8" s="381" t="str">
        <x:f t="shared" ref="AH8:AH72" si="4">IF($R8=SUM($AF8:$AG8),"OK","@@")</x:f>
        <x:v>OK</x:v>
      </x:c>
      <x:c r="AI8" s="8"/>
      <x:c r="AJ8" s="221" t="str">
        <x:f>IF($Z8="","",IF($Z8="도비","-","세입번호입력"))</x:f>
        <x:v/>
      </x:c>
      <x:c r="AK8" s="356" t="str">
        <x:f>IF(OR(AJ8="",AJ8="-",AJ8="세입번호입력"),"",COUNTIF($AJ$7:$AJ$1013,AJ8))</x:f>
        <x:v/>
      </x:c>
      <x:c r="AL8" s="356" t="str">
        <x:f>IF($AJ8="","",IF($Z8="도비","OK",IF(AND($Z8="국도비",$AJ8="세입없음"),"OK",IF(AND($Z8="국도비",$AJ8="세입번호입력"),"@@","OK"))))</x:f>
        <x:v/>
      </x:c>
      <x:c r="AM8" s="356" t="str">
        <x:f>IF($K8="","",IF(COUNT(FIND("국비/",$K8)),"국비",IF(COUNT(FIND("균특/",$K8)),"균특",IF(COUNT(FIND("기금/",$K8)),"기금",IF(COUNT(FIND("교부세/",$K8)),"특교",IF(COUNT(FIND("소방안전/",$K8)),"소교",IF(COUNT(FIND("소멸대응/",$K8)),"소멸","도비")))))))</x:f>
        <x:v/>
      </x:c>
      <x:c r="AN8" s="356" t="str">
        <x:f>IF($AM8="","",IF($AM8="도비","OK",IF($AJ8="세입없음","OK",IF($AJ8="세입번호입력","@@",IF(VLOOKUP($AJ8,'5. 기입'!$AH$6:$AI$1012,2,FALSE)='5. 기출'!$AM8,"OK","@@")))))</x:f>
        <x:v/>
      </x:c>
    </x:row>
    <x:row r="9" spans="1:40" s="20" customFormat="1" ht="80.099999999999994" customHeight="1">
      <x:c r="A9" s="155" t="str">
        <x:f>IF(D9="","",COUNTA($C$7:C9)-COUNTBLANK($C$7:C9)+1)</x:f>
        <x:v/>
      </x:c>
      <x:c r="B9" s="156" t="str">
        <x: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x:f>
        <x:v/>
      </x:c>
      <x:c r="C9" s="156" t="str">
        <x:f>IF(D9="","",IF(OR(D9="교육지원과",D9="총무과",D9="인사과"),"직접입력",VLOOKUP(D9,구분표!$A$3:$C$258,3,)))</x:f>
        <x:v/>
      </x:c>
      <x:c r="D9" s="226"/>
      <x:c r="E9" s="213"/>
      <x:c r="F9" s="388" t="str">
        <x:f t="shared" ref="F9:G10" si="5">IF($E9="","",IF($E9="2추","직접입력","-"))</x:f>
        <x:v/>
      </x:c>
      <x:c r="G9" s="388" t="str">
        <x:f t="shared" si="5"/>
        <x:v/>
      </x:c>
      <x:c r="H9" s="213"/>
      <x:c r="I9" s="156" t="str">
        <x:f>IF(H9="","",VLOOKUP($H9,구분표!$K$3:$M$147,2,FALSE))</x:f>
        <x:v/>
      </x:c>
      <x:c r="J9" s="156" t="str">
        <x:f>IF(I9="","",VLOOKUP($H9,구분표!$K$3:$M$147,3,FALSE))</x:f>
        <x:v/>
      </x:c>
      <x:c r="K9" s="233"/>
      <x:c r="L9" s="233"/>
      <x:c r="M9" s="459" t="str">
        <x:f t="shared" ref="M9:M10" si="6">IF($E9="","",IF(OR($E9="2추",$E9="1추",$E9="본예산"),"금액입력","-"))</x:f>
        <x:v/>
      </x:c>
      <x:c r="N9" s="459" t="str">
        <x:f t="shared" ref="N9:N10" si="7">IF($E9="","",IF($E9="2추","금액입력","-"))</x:f>
        <x:v/>
      </x:c>
      <x:c r="O9" s="461" t="str">
        <x:f t="shared" ref="O9:O10" si="8">IF($E9="","",SUM(M9:N9))</x:f>
        <x:v/>
      </x:c>
      <x:c r="P9" s="460"/>
      <x:c r="Q9" s="461">
        <x:f t="shared" ref="Q9:Q10" si="9">SUM(O9:P9)</x:f>
        <x:v>0</x:v>
      </x:c>
      <x:c r="R9" s="462"/>
      <x:c r="S9" s="463">
        <x:f t="shared" ref="S9:S10" si="10">SUM(O9,R9)</x:f>
        <x:v>0</x:v>
      </x:c>
      <x:c r="T9" s="162" t="str">
        <x:f t="shared" ref="T9:T10" si="11">IF(AND((Q9=0),(S9&gt;0)),"O",IF(AND((P9&lt;0),(Q9-S9&lt;0)),"O","X"))</x:f>
        <x:v>X</x:v>
      </x:c>
      <x:c r="U9" s="230"/>
      <x:c r="V9" s="224"/>
      <x:c r="W9" s="217"/>
      <x:c r="X9" s="234"/>
      <x:c r="Y9" s="217"/>
      <x:c r="Z9" s="356" t="str">
        <x:f t="shared" ref="Z9:Z10" si="12">IF($K9="","",IF(COUNT(FIND("국비/",$K9)),"국도비",IF(COUNT(FIND("균특/",$K9)),"국도비",IF(COUNT(FIND("기금/",$K9)),"국도비",IF(COUNT(FIND("교부세/",$K9)),"국도비",IF(COUNT(FIND("소방안전/",$K9)),"국도비",IF(COUNT(FIND("소멸대응/",$K9)),"국도비","도비")))))))</x:f>
        <x:v/>
      </x:c>
      <x:c r="AA9" s="61"/>
      <x:c r="AB9" s="486" t="str">
        <x:f t="shared" ref="AB9:AB10" si="13">IF($Z9="","",IF($Z9="국도비","금액입력",0))</x:f>
        <x:v/>
      </x:c>
      <x:c r="AC9" s="487">
        <x:f t="shared" ref="AC9:AC10" si="14">IFERROR(P9-AB9,0)</x:f>
        <x:v>0</x:v>
      </x:c>
      <x:c r="AD9" s="356" t="str">
        <x:f t="shared" si="3"/>
        <x:v>OK</x:v>
      </x:c>
      <x:c r="AE9" s="8"/>
      <x:c r="AF9" s="502" t="str">
        <x:f t="shared" ref="AF9:AF10" si="15">IF($Z9="","",IF($Z9="국도비","금액입력",0))</x:f>
        <x:v/>
      </x:c>
      <x:c r="AG9" s="503">
        <x:f t="shared" ref="AG9:AG10" si="16">IFERROR(R9-AF9,0)</x:f>
        <x:v>0</x:v>
      </x:c>
      <x:c r="AH9" s="381" t="str">
        <x:f t="shared" si="4"/>
        <x:v>OK</x:v>
      </x:c>
      <x:c r="AI9" s="8"/>
      <x:c r="AJ9" s="221" t="str">
        <x:f t="shared" ref="AJ9:AJ10" si="17">IF($Z9="","",IF($Z9="도비","-","세입번호입력"))</x:f>
        <x:v/>
      </x:c>
      <x:c r="AK9" s="356" t="str">
        <x:f t="shared" ref="AK9:AK10" si="18">IF(OR(AJ9="",AJ9="-",AJ9="세입번호입력"),"",COUNTIF($AJ$7:$AJ$1013,AJ9))</x:f>
        <x:v/>
      </x:c>
      <x:c r="AL9" s="356" t="str">
        <x:f t="shared" ref="AL9:AL10" si="19">IF($AJ9="","",IF($Z9="도비","OK",IF(AND($Z9="국도비",$AJ9="세입없음"),"OK",IF(AND($Z9="국도비",$AJ9="세입번호입력"),"@@","OK"))))</x:f>
        <x:v/>
      </x:c>
      <x:c r="AM9" s="356" t="str">
        <x:f t="shared" ref="AM9:AM10" si="20">IF($K9="","",IF(COUNT(FIND("국비/",$K9)),"국비",IF(COUNT(FIND("균특/",$K9)),"균특",IF(COUNT(FIND("기금/",$K9)),"기금",IF(COUNT(FIND("교부세/",$K9)),"특교",IF(COUNT(FIND("소방안전/",$K9)),"소교",IF(COUNT(FIND("소멸대응/",$K9)),"소멸","도비")))))))</x:f>
        <x:v/>
      </x:c>
      <x:c r="AN9" s="356" t="str">
        <x:f>IF($AM9="","",IF($AM9="도비","OK",IF($AJ9="세입없음","OK",IF($AJ9="세입번호입력","@@",IF(VLOOKUP($AJ9,'5. 기입'!$AH$6:$AI$1012,2,FALSE)='5. 기출'!$AM9,"OK","@@")))))</x:f>
        <x:v/>
      </x:c>
    </x:row>
    <x:row r="10" spans="1:40" s="20" customFormat="1" ht="80.099999999999994" customHeight="1">
      <x:c r="A10" s="155" t="str">
        <x:f>IF(D10="","",COUNTA($C$7:C10)-COUNTBLANK($C$7:C10)+1)</x:f>
        <x:v/>
      </x:c>
      <x:c r="B10" s="156" t="str">
        <x: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x:f>
        <x:v/>
      </x:c>
      <x:c r="C10" s="156" t="str">
        <x:f>IF(D10="","",IF(OR(D10="교육지원과",D10="총무과",D10="인사과"),"직접입력",VLOOKUP(D10,구분표!$A$3:$C$258,3,)))</x:f>
        <x:v/>
      </x:c>
      <x:c r="D10" s="226"/>
      <x:c r="E10" s="213"/>
      <x:c r="F10" s="388" t="str">
        <x:f t="shared" si="5"/>
        <x:v/>
      </x:c>
      <x:c r="G10" s="388" t="str">
        <x:f t="shared" si="5"/>
        <x:v/>
      </x:c>
      <x:c r="H10" s="213"/>
      <x:c r="I10" s="156" t="str">
        <x:f>IF(H10="","",VLOOKUP($H10,구분표!$K$3:$M$147,2,FALSE))</x:f>
        <x:v/>
      </x:c>
      <x:c r="J10" s="156" t="str">
        <x:f>IF(I10="","",VLOOKUP($H10,구분표!$K$3:$M$147,3,FALSE))</x:f>
        <x:v/>
      </x:c>
      <x:c r="K10" s="233"/>
      <x:c r="L10" s="233"/>
      <x:c r="M10" s="459" t="str">
        <x:f t="shared" si="6"/>
        <x:v/>
      </x:c>
      <x:c r="N10" s="459" t="str">
        <x:f t="shared" si="7"/>
        <x:v/>
      </x:c>
      <x:c r="O10" s="461" t="str">
        <x:f t="shared" si="8"/>
        <x:v/>
      </x:c>
      <x:c r="P10" s="460"/>
      <x:c r="Q10" s="461">
        <x:f t="shared" si="9"/>
        <x:v>0</x:v>
      </x:c>
      <x:c r="R10" s="462"/>
      <x:c r="S10" s="463">
        <x:f t="shared" si="10"/>
        <x:v>0</x:v>
      </x:c>
      <x:c r="T10" s="162" t="str">
        <x:f t="shared" si="11"/>
        <x:v>X</x:v>
      </x:c>
      <x:c r="U10" s="230"/>
      <x:c r="V10" s="224"/>
      <x:c r="W10" s="217"/>
      <x:c r="X10" s="234"/>
      <x:c r="Y10" s="217"/>
      <x:c r="Z10" s="356" t="str">
        <x:f t="shared" si="12"/>
        <x:v/>
      </x:c>
      <x:c r="AA10" s="61"/>
      <x:c r="AB10" s="486" t="str">
        <x:f t="shared" si="13"/>
        <x:v/>
      </x:c>
      <x:c r="AC10" s="487">
        <x:f t="shared" si="14"/>
        <x:v>0</x:v>
      </x:c>
      <x:c r="AD10" s="356" t="str">
        <x:f t="shared" si="3"/>
        <x:v>OK</x:v>
      </x:c>
      <x:c r="AE10" s="8"/>
      <x:c r="AF10" s="502" t="str">
        <x:f t="shared" si="15"/>
        <x:v/>
      </x:c>
      <x:c r="AG10" s="503">
        <x:f t="shared" si="16"/>
        <x:v>0</x:v>
      </x:c>
      <x:c r="AH10" s="381" t="str">
        <x:f t="shared" si="4"/>
        <x:v>OK</x:v>
      </x:c>
      <x:c r="AI10" s="8"/>
      <x:c r="AJ10" s="221" t="str">
        <x:f t="shared" si="17"/>
        <x:v/>
      </x:c>
      <x:c r="AK10" s="356" t="str">
        <x:f t="shared" si="18"/>
        <x:v/>
      </x:c>
      <x:c r="AL10" s="356" t="str">
        <x:f t="shared" si="19"/>
        <x:v/>
      </x:c>
      <x:c r="AM10" s="356" t="str">
        <x:f t="shared" si="20"/>
        <x:v/>
      </x:c>
      <x:c r="AN10" s="356" t="str">
        <x:f>IF($AM10="","",IF($AM10="도비","OK",IF($AJ10="세입없음","OK",IF($AJ10="세입번호입력","@@",IF(VLOOKUP($AJ10,'5. 기입'!$AH$6:$AI$1012,2,FALSE)='5. 기출'!$AM10,"OK","@@")))))</x:f>
        <x:v/>
      </x:c>
    </x:row>
    <x:row r="11" spans="1:40" ht="60" customHeight="1">
      <x:c r="A11" s="167"/>
      <x:c r="B11" s="888" t="s">
        <x:v>1455</x:v>
      </x:c>
      <x:c r="C11" s="888"/>
      <x:c r="D11" s="888"/>
      <x:c r="E11" s="888"/>
      <x:c r="F11" s="888"/>
      <x:c r="G11" s="888"/>
      <x:c r="H11" s="888"/>
      <x:c r="I11" s="888"/>
      <x:c r="J11" s="888"/>
      <x:c r="K11" s="83"/>
      <x:c r="L11" s="363" t="str">
        <x:f>SUBTOTAL(3,L12:L14)&amp;"건"</x:f>
        <x:v>0건</x:v>
      </x:c>
      <x:c r="M11" s="477">
        <x:f t="shared" ref="M11:S11" si="21">SUBTOTAL(9,M12:M14)</x:f>
        <x:v>0</x:v>
      </x:c>
      <x:c r="N11" s="477">
        <x:f t="shared" si="21"/>
        <x:v>0</x:v>
      </x:c>
      <x:c r="O11" s="477">
        <x:f t="shared" si="21"/>
        <x:v>0</x:v>
      </x:c>
      <x:c r="P11" s="477">
        <x:f t="shared" si="21"/>
        <x:v>0</x:v>
      </x:c>
      <x:c r="Q11" s="477">
        <x:f t="shared" si="21"/>
        <x:v>0</x:v>
      </x:c>
      <x:c r="R11" s="477">
        <x:f t="shared" si="21"/>
        <x:v>0</x:v>
      </x:c>
      <x:c r="S11" s="477">
        <x:f t="shared" si="21"/>
        <x:v>0</x:v>
      </x:c>
      <x:c r="T11" s="82"/>
      <x:c r="U11" s="84"/>
      <x:c r="V11" s="84"/>
      <x:c r="W11" s="85"/>
      <x:c r="X11" s="178"/>
      <x:c r="Y11" s="86"/>
      <x:c r="Z11" s="364"/>
      <x:c r="AA11" s="44"/>
      <x:c r="AB11" s="477">
        <x:f t="shared" ref="AB11:AC11" si="22">SUBTOTAL(9,AB12:AB14)</x:f>
        <x:v>0</x:v>
      </x:c>
      <x:c r="AC11" s="477">
        <x:f t="shared" si="22"/>
        <x:v>0</x:v>
      </x:c>
      <x:c r="AD11" s="556" t="str">
        <x:f>IF(COUNTIF(AD12:AD14,"@@")&gt;0,"@@","OK")</x:f>
        <x:v>OK</x:v>
      </x:c>
      <x:c r="AE11" s="53"/>
      <x:c r="AF11" s="477">
        <x:f t="shared" ref="AF11:AG11" si="23">SUBTOTAL(9,AF12:AF14)</x:f>
        <x:v>0</x:v>
      </x:c>
      <x:c r="AG11" s="477">
        <x:f t="shared" si="23"/>
        <x:v>0</x:v>
      </x:c>
      <x:c r="AH11" s="556" t="str">
        <x:f>IF(COUNTIF(AH12:AH14,"@@")&gt;0,"@@","OK")</x:f>
        <x:v>OK</x:v>
      </x:c>
      <x:c r="AI11" s="44"/>
      <x:c r="AJ11" s="81"/>
      <x:c r="AK11" s="81"/>
      <x:c r="AL11" s="556" t="str">
        <x:f>IF(COUNTIF(AL12:AL14,"@@")&gt;0,"@@","OK")</x:f>
        <x:v>OK</x:v>
      </x:c>
      <x:c r="AM11" s="81"/>
      <x:c r="AN11" s="556" t="str">
        <x:f>IF(COUNTIF(AN12:AN14,"@@")&gt;0,"@@","OK")</x:f>
        <x:v>OK</x:v>
      </x:c>
    </x:row>
    <x:row r="12" spans="1:40" s="20" customFormat="1" ht="80.099999999999994" customHeight="1">
      <x:c r="A12" s="155" t="str">
        <x:f>IF(D12="","",COUNTA($C$7:C12)-COUNTBLANK($C$7:C12)+2)</x:f>
        <x:v/>
      </x:c>
      <x:c r="B12" s="156" t="str">
        <x: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x:f>
        <x:v/>
      </x:c>
      <x:c r="C12" s="156" t="str">
        <x:f>IF(D12="","",IF(OR(D12="교육지원과",D12="총무과",D12="인사과"),"직접입력",VLOOKUP(D12,구분표!$A$3:$C$258,3,)))</x:f>
        <x:v/>
      </x:c>
      <x:c r="D12" s="226"/>
      <x:c r="E12" s="213"/>
      <x:c r="F12" s="388" t="str">
        <x:f>IF($E12="","",IF($E12="2추","직접입력","-"))</x:f>
        <x:v/>
      </x:c>
      <x:c r="G12" s="388" t="str">
        <x:f>IF($E12="","",IF($E12="2추","직접입력","-"))</x:f>
        <x:v/>
      </x:c>
      <x:c r="H12" s="213"/>
      <x:c r="I12" s="156" t="str">
        <x:f>IF(H12="","",VLOOKUP($H12,구분표!$K$3:$M$147,2,FALSE))</x:f>
        <x:v/>
      </x:c>
      <x:c r="J12" s="156" t="str">
        <x:f>IF(I12="","",VLOOKUP($H12,구분표!$K$3:$M$147,3,FALSE))</x:f>
        <x:v/>
      </x:c>
      <x:c r="K12" s="233"/>
      <x:c r="L12" s="233"/>
      <x:c r="M12" s="459" t="str">
        <x:f>IF($E12="","",IF(OR($E12="2추",$E12="1추",$E12="본예산"),"금액입력","-"))</x:f>
        <x:v/>
      </x:c>
      <x:c r="N12" s="459" t="str">
        <x:f>IF($E12="","",IF($E12="2추","금액입력","-"))</x:f>
        <x:v/>
      </x:c>
      <x:c r="O12" s="461" t="str">
        <x:f t="shared" ref="O12:O14" si="24">IF($E12="","",SUM(M12:N12))</x:f>
        <x:v/>
      </x:c>
      <x:c r="P12" s="460"/>
      <x:c r="Q12" s="461">
        <x:f t="shared" ref="Q12:Q14" si="25">SUM(O12:P12)</x:f>
        <x:v>0</x:v>
      </x:c>
      <x:c r="R12" s="462"/>
      <x:c r="S12" s="463">
        <x:f t="shared" ref="S12:S14" si="26">SUM(O12,R12)</x:f>
        <x:v>0</x:v>
      </x:c>
      <x:c r="T12" s="162" t="str">
        <x:f t="shared" ref="T12:T14" si="27">IF(AND((Q12=0),(S12&gt;0)),"O",IF(AND((P12&lt;0),(Q12-S12&lt;0)),"O","X"))</x:f>
        <x:v>X</x:v>
      </x:c>
      <x:c r="U12" s="230"/>
      <x:c r="V12" s="224"/>
      <x:c r="W12" s="217"/>
      <x:c r="X12" s="234"/>
      <x:c r="Y12" s="217"/>
      <x:c r="Z12" s="356" t="str">
        <x:f t="shared" ref="Z12:Z14" si="28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x:f>
        <x:v/>
      </x:c>
      <x:c r="AA12" s="61"/>
      <x:c r="AB12" s="486" t="str">
        <x:f t="shared" ref="AB12:AB14" si="29">IF($Z12="","",IF($Z12="국도비","금액입력",0))</x:f>
        <x:v/>
      </x:c>
      <x:c r="AC12" s="487">
        <x:f t="shared" ref="AC12:AC14" si="30">IFERROR(P12-AB12,0)</x:f>
        <x:v>0</x:v>
      </x:c>
      <x:c r="AD12" s="356" t="str">
        <x:f t="shared" si="3"/>
        <x:v>OK</x:v>
      </x:c>
      <x:c r="AE12" s="8"/>
      <x:c r="AF12" s="502" t="str">
        <x:f t="shared" ref="AF12:AF14" si="31">IF($Z12="","",IF($Z12="국도비","금액입력",0))</x:f>
        <x:v/>
      </x:c>
      <x:c r="AG12" s="503">
        <x:f t="shared" ref="AG12:AG14" si="32">IFERROR(R12-AF12,0)</x:f>
        <x:v>0</x:v>
      </x:c>
      <x:c r="AH12" s="381" t="str">
        <x:f t="shared" si="4"/>
        <x:v>OK</x:v>
      </x:c>
      <x:c r="AI12" s="8"/>
      <x:c r="AJ12" s="221" t="str">
        <x:f t="shared" ref="AJ12:AJ14" si="33">IF($Z12="","",IF($Z12="도비","-","세입번호입력"))</x:f>
        <x:v/>
      </x:c>
      <x:c r="AK12" s="356" t="str">
        <x:f t="shared" ref="AK12:AK14" si="34">IF(OR(AJ12="",AJ12="-",AJ12="세입번호입력"),"",COUNTIF($AJ$7:$AJ$1013,AJ12))</x:f>
        <x:v/>
      </x:c>
      <x:c r="AL12" s="356" t="str">
        <x:f t="shared" ref="AL12:AL14" si="35">IF($AJ12="","",IF($Z12="도비","OK",IF(AND($Z12="국도비",$AJ12="세입없음"),"OK",IF(AND($Z12="국도비",$AJ12="세입번호입력"),"@@","OK"))))</x:f>
        <x:v/>
      </x:c>
      <x:c r="AM12" s="356" t="str">
        <x:f t="shared" ref="AM12:AM14" si="36">IF($K12="","",IF(COUNT(FIND("국비/",$K12)),"국비",IF(COUNT(FIND("균특/",$K12)),"균특",IF(COUNT(FIND("기금/",$K12)),"기금",IF(COUNT(FIND("교부세/",$K12)),"특교",IF(COUNT(FIND("소방안전/",$K12)),"소교",IF(COUNT(FIND("소멸대응/",$K12)),"소멸","도비")))))))</x:f>
        <x:v/>
      </x:c>
      <x:c r="AN12" s="356" t="str">
        <x:f>IF($AM12="","",IF($AM12="도비","OK",IF($AJ12="세입없음","OK",IF($AJ12="세입번호입력","@@",IF(VLOOKUP($AJ12,'5. 기입'!$AH$6:$AI$1012,2,FALSE)='5. 기출'!$AM12,"OK","@@")))))</x:f>
        <x:v/>
      </x:c>
    </x:row>
    <x:row r="13" spans="1:40" s="20" customFormat="1" ht="80.099999999999994" customHeight="1">
      <x:c r="A13" s="155" t="str">
        <x:f>IF(D13="","",COUNTA($C$7:C13)-COUNTBLANK($C$7:C13)+2)</x:f>
        <x:v/>
      </x:c>
      <x:c r="B13" s="156" t="str">
        <x: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x:f>
        <x:v/>
      </x:c>
      <x:c r="C13" s="156" t="str">
        <x:f>IF(D13="","",IF(OR(D13="교육지원과",D13="총무과",D13="인사과"),"직접입력",VLOOKUP(D13,구분표!$A$3:$C$258,3,)))</x:f>
        <x:v/>
      </x:c>
      <x:c r="D13" s="226"/>
      <x:c r="E13" s="213"/>
      <x:c r="F13" s="388" t="str">
        <x:f t="shared" ref="F13:G14" si="37">IF($E13="","",IF($E13="2추","직접입력","-"))</x:f>
        <x:v/>
      </x:c>
      <x:c r="G13" s="388" t="str">
        <x:f t="shared" si="37"/>
        <x:v/>
      </x:c>
      <x:c r="H13" s="213"/>
      <x:c r="I13" s="156" t="str">
        <x:f>IF(H13="","",VLOOKUP($H13,구분표!$K$3:$M$147,2,FALSE))</x:f>
        <x:v/>
      </x:c>
      <x:c r="J13" s="156" t="str">
        <x:f>IF(I13="","",VLOOKUP($H13,구분표!$K$3:$M$147,3,FALSE))</x:f>
        <x:v/>
      </x:c>
      <x:c r="K13" s="233"/>
      <x:c r="L13" s="233"/>
      <x:c r="M13" s="459" t="str">
        <x:f t="shared" ref="M13:M14" si="38">IF($E13="","",IF(OR($E13="2추",$E13="1추",$E13="본예산"),"금액입력","-"))</x:f>
        <x:v/>
      </x:c>
      <x:c r="N13" s="459" t="str">
        <x:f t="shared" ref="N13:N14" si="39">IF($E13="","",IF($E13="2추","금액입력","-"))</x:f>
        <x:v/>
      </x:c>
      <x:c r="O13" s="461" t="str">
        <x:f t="shared" si="24"/>
        <x:v/>
      </x:c>
      <x:c r="P13" s="460"/>
      <x:c r="Q13" s="461">
        <x:f t="shared" si="25"/>
        <x:v>0</x:v>
      </x:c>
      <x:c r="R13" s="462"/>
      <x:c r="S13" s="463">
        <x:f t="shared" si="26"/>
        <x:v>0</x:v>
      </x:c>
      <x:c r="T13" s="162" t="str">
        <x:f t="shared" si="27"/>
        <x:v>X</x:v>
      </x:c>
      <x:c r="U13" s="230"/>
      <x:c r="V13" s="224"/>
      <x:c r="W13" s="217"/>
      <x:c r="X13" s="234"/>
      <x:c r="Y13" s="217"/>
      <x:c r="Z13" s="356" t="str">
        <x:f t="shared" si="28"/>
        <x:v/>
      </x:c>
      <x:c r="AA13" s="61"/>
      <x:c r="AB13" s="486" t="str">
        <x:f t="shared" si="29"/>
        <x:v/>
      </x:c>
      <x:c r="AC13" s="487">
        <x:f t="shared" si="30"/>
        <x:v>0</x:v>
      </x:c>
      <x:c r="AD13" s="356" t="str">
        <x:f t="shared" si="3"/>
        <x:v>OK</x:v>
      </x:c>
      <x:c r="AE13" s="8"/>
      <x:c r="AF13" s="502" t="str">
        <x:f t="shared" si="31"/>
        <x:v/>
      </x:c>
      <x:c r="AG13" s="503">
        <x:f t="shared" si="32"/>
        <x:v>0</x:v>
      </x:c>
      <x:c r="AH13" s="381" t="str">
        <x:f t="shared" si="4"/>
        <x:v>OK</x:v>
      </x:c>
      <x:c r="AI13" s="8"/>
      <x:c r="AJ13" s="221" t="str">
        <x:f t="shared" si="33"/>
        <x:v/>
      </x:c>
      <x:c r="AK13" s="356" t="str">
        <x:f t="shared" si="34"/>
        <x:v/>
      </x:c>
      <x:c r="AL13" s="356" t="str">
        <x:f t="shared" si="35"/>
        <x:v/>
      </x:c>
      <x:c r="AM13" s="356" t="str">
        <x:f t="shared" si="36"/>
        <x:v/>
      </x:c>
      <x:c r="AN13" s="356" t="str">
        <x:f>IF($AM13="","",IF($AM13="도비","OK",IF($AJ13="세입없음","OK",IF($AJ13="세입번호입력","@@",IF(VLOOKUP($AJ13,'5. 기입'!$AH$6:$AI$1012,2,FALSE)='5. 기출'!$AM13,"OK","@@")))))</x:f>
        <x:v/>
      </x:c>
    </x:row>
    <x:row r="14" spans="1:40" s="20" customFormat="1" ht="80.099999999999994" customHeight="1">
      <x:c r="A14" s="155" t="str">
        <x:f>IF(D14="","",COUNTA($C$7:C14)-COUNTBLANK($C$7:C14)+2)</x:f>
        <x:v/>
      </x:c>
      <x:c r="B14" s="156" t="str">
        <x: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x:f>
        <x:v/>
      </x:c>
      <x:c r="C14" s="156" t="str">
        <x:f>IF(D14="","",IF(OR(D14="교육지원과",D14="총무과",D14="인사과"),"직접입력",VLOOKUP(D14,구분표!$A$3:$C$258,3,)))</x:f>
        <x:v/>
      </x:c>
      <x:c r="D14" s="226"/>
      <x:c r="E14" s="213"/>
      <x:c r="F14" s="388" t="str">
        <x:f t="shared" si="37"/>
        <x:v/>
      </x:c>
      <x:c r="G14" s="388" t="str">
        <x:f t="shared" si="37"/>
        <x:v/>
      </x:c>
      <x:c r="H14" s="213"/>
      <x:c r="I14" s="156" t="str">
        <x:f>IF(H14="","",VLOOKUP($H14,구분표!$K$3:$M$147,2,FALSE))</x:f>
        <x:v/>
      </x:c>
      <x:c r="J14" s="156" t="str">
        <x:f>IF(I14="","",VLOOKUP($H14,구분표!$K$3:$M$147,3,FALSE))</x:f>
        <x:v/>
      </x:c>
      <x:c r="K14" s="233"/>
      <x:c r="L14" s="233"/>
      <x:c r="M14" s="459" t="str">
        <x:f t="shared" si="38"/>
        <x:v/>
      </x:c>
      <x:c r="N14" s="459" t="str">
        <x:f t="shared" si="39"/>
        <x:v/>
      </x:c>
      <x:c r="O14" s="461" t="str">
        <x:f t="shared" si="24"/>
        <x:v/>
      </x:c>
      <x:c r="P14" s="460"/>
      <x:c r="Q14" s="461">
        <x:f t="shared" si="25"/>
        <x:v>0</x:v>
      </x:c>
      <x:c r="R14" s="462"/>
      <x:c r="S14" s="463">
        <x:f t="shared" si="26"/>
        <x:v>0</x:v>
      </x:c>
      <x:c r="T14" s="162" t="str">
        <x:f t="shared" si="27"/>
        <x:v>X</x:v>
      </x:c>
      <x:c r="U14" s="230"/>
      <x:c r="V14" s="224"/>
      <x:c r="W14" s="217"/>
      <x:c r="X14" s="234"/>
      <x:c r="Y14" s="217"/>
      <x:c r="Z14" s="356" t="str">
        <x:f t="shared" si="28"/>
        <x:v/>
      </x:c>
      <x:c r="AA14" s="61"/>
      <x:c r="AB14" s="486" t="str">
        <x:f t="shared" si="29"/>
        <x:v/>
      </x:c>
      <x:c r="AC14" s="487">
        <x:f t="shared" si="30"/>
        <x:v>0</x:v>
      </x:c>
      <x:c r="AD14" s="356" t="str">
        <x:f t="shared" si="3"/>
        <x:v>OK</x:v>
      </x:c>
      <x:c r="AE14" s="8"/>
      <x:c r="AF14" s="502" t="str">
        <x:f t="shared" si="31"/>
        <x:v/>
      </x:c>
      <x:c r="AG14" s="503">
        <x:f t="shared" si="32"/>
        <x:v>0</x:v>
      </x:c>
      <x:c r="AH14" s="381" t="str">
        <x:f t="shared" si="4"/>
        <x:v>OK</x:v>
      </x:c>
      <x:c r="AI14" s="8"/>
      <x:c r="AJ14" s="221" t="str">
        <x:f t="shared" si="33"/>
        <x:v/>
      </x:c>
      <x:c r="AK14" s="356" t="str">
        <x:f t="shared" si="34"/>
        <x:v/>
      </x:c>
      <x:c r="AL14" s="356" t="str">
        <x:f t="shared" si="35"/>
        <x:v/>
      </x:c>
      <x:c r="AM14" s="356" t="str">
        <x:f t="shared" si="36"/>
        <x:v/>
      </x:c>
      <x:c r="AN14" s="356" t="str">
        <x:f>IF($AM14="","",IF($AM14="도비","OK",IF($AJ14="세입없음","OK",IF($AJ14="세입번호입력","@@",IF(VLOOKUP($AJ14,'5. 기입'!$AH$6:$AI$1012,2,FALSE)='5. 기출'!$AM14,"OK","@@")))))</x:f>
        <x:v/>
      </x:c>
    </x:row>
    <x:row r="15" spans="1:40" ht="60" customHeight="1">
      <x:c r="A15" s="167"/>
      <x:c r="B15" s="888" t="s">
        <x:v>879</x:v>
      </x:c>
      <x:c r="C15" s="888"/>
      <x:c r="D15" s="888"/>
      <x:c r="E15" s="888"/>
      <x:c r="F15" s="888"/>
      <x:c r="G15" s="888"/>
      <x:c r="H15" s="888"/>
      <x:c r="I15" s="888"/>
      <x:c r="J15" s="888"/>
      <x:c r="K15" s="83"/>
      <x:c r="L15" s="363" t="str">
        <x:f>SUBTOTAL(3,L16:L18)&amp;"건"</x:f>
        <x:v>0건</x:v>
      </x:c>
      <x:c r="M15" s="477">
        <x:f t="shared" ref="M15:S15" si="40">SUBTOTAL(9,M16:M18)</x:f>
        <x:v>0</x:v>
      </x:c>
      <x:c r="N15" s="477">
        <x:f t="shared" si="40"/>
        <x:v>0</x:v>
      </x:c>
      <x:c r="O15" s="477">
        <x:f t="shared" si="40"/>
        <x:v>0</x:v>
      </x:c>
      <x:c r="P15" s="477">
        <x:f t="shared" si="40"/>
        <x:v>0</x:v>
      </x:c>
      <x:c r="Q15" s="477">
        <x:f t="shared" si="40"/>
        <x:v>0</x:v>
      </x:c>
      <x:c r="R15" s="477">
        <x:f t="shared" si="40"/>
        <x:v>0</x:v>
      </x:c>
      <x:c r="S15" s="477">
        <x:f t="shared" si="40"/>
        <x:v>0</x:v>
      </x:c>
      <x:c r="T15" s="82"/>
      <x:c r="U15" s="84"/>
      <x:c r="V15" s="84"/>
      <x:c r="W15" s="85"/>
      <x:c r="X15" s="178"/>
      <x:c r="Y15" s="86"/>
      <x:c r="Z15" s="82"/>
      <x:c r="AA15" s="44"/>
      <x:c r="AB15" s="477">
        <x:f t="shared" ref="AB15:AC15" si="41">SUBTOTAL(9,AB16:AB18)</x:f>
        <x:v>0</x:v>
      </x:c>
      <x:c r="AC15" s="477">
        <x:f t="shared" si="41"/>
        <x:v>0</x:v>
      </x:c>
      <x:c r="AD15" s="556" t="str">
        <x:f>IF(COUNTIF(AD16:AD18,"@@")&gt;0,"@@","OK")</x:f>
        <x:v>OK</x:v>
      </x:c>
      <x:c r="AE15" s="53"/>
      <x:c r="AF15" s="477">
        <x:f t="shared" ref="AF15:AG15" si="42">SUBTOTAL(9,AF16:AF18)</x:f>
        <x:v>0</x:v>
      </x:c>
      <x:c r="AG15" s="477">
        <x:f t="shared" si="42"/>
        <x:v>0</x:v>
      </x:c>
      <x:c r="AH15" s="556" t="str">
        <x:f>IF(COUNTIF(AH16:AH18,"@@")&gt;0,"@@","OK")</x:f>
        <x:v>OK</x:v>
      </x:c>
      <x:c r="AI15" s="44"/>
      <x:c r="AJ15" s="81"/>
      <x:c r="AK15" s="81"/>
      <x:c r="AL15" s="556" t="str">
        <x:f>IF(COUNTIF(AL16:AL18,"@@")&gt;0,"@@","OK")</x:f>
        <x:v>OK</x:v>
      </x:c>
      <x:c r="AM15" s="81"/>
      <x:c r="AN15" s="556" t="str">
        <x:f>IF(COUNTIF(AN16:AN18,"@@")&gt;0,"@@","OK")</x:f>
        <x:v>OK</x:v>
      </x:c>
    </x:row>
    <x:row r="16" spans="1:40" s="20" customFormat="1" ht="80.099999999999994" customHeight="1">
      <x:c r="A16" s="155" t="str">
        <x:f>IF(D16="","",COUNTA($C$7:C16)-COUNTBLANK($C$7:C16)+3)</x:f>
        <x:v/>
      </x:c>
      <x:c r="B16" s="156" t="str">
        <x: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x:f>
        <x:v/>
      </x:c>
      <x:c r="C16" s="156" t="str">
        <x:f>IF(D16="","",IF(OR(D16="교육지원과",D16="총무과",D16="인사과"),"직접입력",VLOOKUP(D16,구분표!$A$3:$C$258,3,)))</x:f>
        <x:v/>
      </x:c>
      <x:c r="D16" s="226"/>
      <x:c r="E16" s="213"/>
      <x:c r="F16" s="388" t="str">
        <x:f>IF($E16="","",IF($E16="2추","직접입력","-"))</x:f>
        <x:v/>
      </x:c>
      <x:c r="G16" s="388" t="str">
        <x:f>IF($E16="","",IF($E16="2추","직접입력","-"))</x:f>
        <x:v/>
      </x:c>
      <x:c r="H16" s="213"/>
      <x:c r="I16" s="156" t="str">
        <x:f>IF(H16="","",VLOOKUP($H16,구분표!$K$3:$M$147,2,FALSE))</x:f>
        <x:v/>
      </x:c>
      <x:c r="J16" s="156" t="str">
        <x:f>IF(I16="","",VLOOKUP($H16,구분표!$K$3:$M$147,3,FALSE))</x:f>
        <x:v/>
      </x:c>
      <x:c r="K16" s="233"/>
      <x:c r="L16" s="233"/>
      <x:c r="M16" s="459" t="str">
        <x:f>IF($E16="","",IF(OR($E16="2추",$E16="1추",$E16="본예산"),"금액입력","-"))</x:f>
        <x:v/>
      </x:c>
      <x:c r="N16" s="459" t="str">
        <x:f>IF($E16="","",IF($E16="2추","금액입력","-"))</x:f>
        <x:v/>
      </x:c>
      <x:c r="O16" s="461" t="str">
        <x:f t="shared" ref="O16:O18" si="43">IF($E16="","",SUM(M16:N16))</x:f>
        <x:v/>
      </x:c>
      <x:c r="P16" s="460"/>
      <x:c r="Q16" s="461">
        <x:f t="shared" ref="Q16:Q18" si="44">SUM(O16:P16)</x:f>
        <x:v>0</x:v>
      </x:c>
      <x:c r="R16" s="462"/>
      <x:c r="S16" s="463">
        <x:f t="shared" ref="S16:S18" si="45">SUM(O16,R16)</x:f>
        <x:v>0</x:v>
      </x:c>
      <x:c r="T16" s="162" t="str">
        <x:f t="shared" ref="T16:T18" si="46">IF(AND((Q16=0),(S16&gt;0)),"O",IF(AND((P16&lt;0),(Q16-S16&lt;0)),"O","X"))</x:f>
        <x:v>X</x:v>
      </x:c>
      <x:c r="U16" s="230"/>
      <x:c r="V16" s="224"/>
      <x:c r="W16" s="217"/>
      <x:c r="X16" s="234"/>
      <x:c r="Y16" s="217"/>
      <x:c r="Z16" s="356" t="str">
        <x:f t="shared" ref="Z16:Z18" si="47">IF($K16="","",IF(COUNT(FIND("국비/",$K16)),"국도비",IF(COUNT(FIND("균특/",$K16)),"국도비",IF(COUNT(FIND("기금/",$K16)),"국도비",IF(COUNT(FIND("교부세/",$K16)),"국도비",IF(COUNT(FIND("소방안전/",$K16)),"국도비",IF(COUNT(FIND("소멸대응/",$K16)),"국도비","도비")))))))</x:f>
        <x:v/>
      </x:c>
      <x:c r="AA16" s="61"/>
      <x:c r="AB16" s="486" t="str">
        <x:f t="shared" ref="AB16:AB18" si="48">IF($Z16="","",IF($Z16="국도비","금액입력",0))</x:f>
        <x:v/>
      </x:c>
      <x:c r="AC16" s="487">
        <x:f t="shared" ref="AC16:AC18" si="49">IFERROR(P16-AB16,0)</x:f>
        <x:v>0</x:v>
      </x:c>
      <x:c r="AD16" s="356" t="str">
        <x:f t="shared" si="3"/>
        <x:v>OK</x:v>
      </x:c>
      <x:c r="AE16" s="8"/>
      <x:c r="AF16" s="502" t="str">
        <x:f t="shared" ref="AF16:AF18" si="50">IF($Z16="","",IF($Z16="국도비","금액입력",0))</x:f>
        <x:v/>
      </x:c>
      <x:c r="AG16" s="503">
        <x:f t="shared" ref="AG16:AG18" si="51">IFERROR(R16-AF16,0)</x:f>
        <x:v>0</x:v>
      </x:c>
      <x:c r="AH16" s="381" t="str">
        <x:f t="shared" si="4"/>
        <x:v>OK</x:v>
      </x:c>
      <x:c r="AI16" s="8"/>
      <x:c r="AJ16" s="221" t="str">
        <x:f t="shared" ref="AJ16:AJ18" si="52">IF($Z16="","",IF($Z16="도비","-","세입번호입력"))</x:f>
        <x:v/>
      </x:c>
      <x:c r="AK16" s="356" t="str">
        <x:f t="shared" ref="AK16:AK18" si="53">IF(OR(AJ16="",AJ16="-",AJ16="세입번호입력"),"",COUNTIF($AJ$7:$AJ$1013,AJ16))</x:f>
        <x:v/>
      </x:c>
      <x:c r="AL16" s="356" t="str">
        <x:f t="shared" ref="AL16:AL18" si="54">IF($AJ16="","",IF($Z16="도비","OK",IF(AND($Z16="국도비",$AJ16="세입없음"),"OK",IF(AND($Z16="국도비",$AJ16="세입번호입력"),"@@","OK"))))</x:f>
        <x:v/>
      </x:c>
      <x:c r="AM16" s="356" t="str">
        <x:f t="shared" ref="AM16:AM18" si="55">IF($K16="","",IF(COUNT(FIND("국비/",$K16)),"국비",IF(COUNT(FIND("균특/",$K16)),"균특",IF(COUNT(FIND("기금/",$K16)),"기금",IF(COUNT(FIND("교부세/",$K16)),"특교",IF(COUNT(FIND("소방안전/",$K16)),"소교",IF(COUNT(FIND("소멸대응/",$K16)),"소멸","도비")))))))</x:f>
        <x:v/>
      </x:c>
      <x:c r="AN16" s="356" t="str">
        <x:f>IF($AM16="","",IF($AM16="도비","OK",IF($AJ16="세입없음","OK",IF($AJ16="세입번호입력","@@",IF(VLOOKUP($AJ16,'5. 기입'!$AH$6:$AI$1012,2,FALSE)='5. 기출'!$AM16,"OK","@@")))))</x:f>
        <x:v/>
      </x:c>
    </x:row>
    <x:row r="17" spans="1:40" s="20" customFormat="1" ht="80.099999999999994" customHeight="1">
      <x:c r="A17" s="155" t="str">
        <x:f>IF(D17="","",COUNTA($C$7:C17)-COUNTBLANK($C$7:C17)+3)</x:f>
        <x:v/>
      </x:c>
      <x:c r="B17" s="156" t="str">
        <x: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x:f>
        <x:v/>
      </x:c>
      <x:c r="C17" s="156" t="str">
        <x:f>IF(D17="","",IF(OR(D17="교육지원과",D17="총무과",D17="인사과"),"직접입력",VLOOKUP(D17,구분표!$A$3:$C$258,3,)))</x:f>
        <x:v/>
      </x:c>
      <x:c r="D17" s="226"/>
      <x:c r="E17" s="213"/>
      <x:c r="F17" s="388" t="str">
        <x:f t="shared" ref="F17:G18" si="56">IF($E17="","",IF($E17="2추","직접입력","-"))</x:f>
        <x:v/>
      </x:c>
      <x:c r="G17" s="388" t="str">
        <x:f t="shared" si="56"/>
        <x:v/>
      </x:c>
      <x:c r="H17" s="213"/>
      <x:c r="I17" s="156" t="str">
        <x:f>IF(H17="","",VLOOKUP($H17,구분표!$K$3:$M$147,2,FALSE))</x:f>
        <x:v/>
      </x:c>
      <x:c r="J17" s="156" t="str">
        <x:f>IF(I17="","",VLOOKUP($H17,구분표!$K$3:$M$147,3,FALSE))</x:f>
        <x:v/>
      </x:c>
      <x:c r="K17" s="233"/>
      <x:c r="L17" s="233"/>
      <x:c r="M17" s="459" t="str">
        <x:f t="shared" ref="M17:M18" si="57">IF($E17="","",IF(OR($E17="2추",$E17="1추",$E17="본예산"),"금액입력","-"))</x:f>
        <x:v/>
      </x:c>
      <x:c r="N17" s="459" t="str">
        <x:f t="shared" ref="N17:N18" si="58">IF($E17="","",IF($E17="2추","금액입력","-"))</x:f>
        <x:v/>
      </x:c>
      <x:c r="O17" s="461" t="str">
        <x:f t="shared" si="43"/>
        <x:v/>
      </x:c>
      <x:c r="P17" s="460"/>
      <x:c r="Q17" s="461">
        <x:f t="shared" si="44"/>
        <x:v>0</x:v>
      </x:c>
      <x:c r="R17" s="462"/>
      <x:c r="S17" s="463">
        <x:f t="shared" si="45"/>
        <x:v>0</x:v>
      </x:c>
      <x:c r="T17" s="162" t="str">
        <x:f t="shared" si="46"/>
        <x:v>X</x:v>
      </x:c>
      <x:c r="U17" s="230"/>
      <x:c r="V17" s="224"/>
      <x:c r="W17" s="217"/>
      <x:c r="X17" s="234"/>
      <x:c r="Y17" s="217"/>
      <x:c r="Z17" s="356" t="str">
        <x:f t="shared" si="47"/>
        <x:v/>
      </x:c>
      <x:c r="AA17" s="61"/>
      <x:c r="AB17" s="486" t="str">
        <x:f t="shared" si="48"/>
        <x:v/>
      </x:c>
      <x:c r="AC17" s="487">
        <x:f t="shared" si="49"/>
        <x:v>0</x:v>
      </x:c>
      <x:c r="AD17" s="356" t="str">
        <x:f t="shared" si="3"/>
        <x:v>OK</x:v>
      </x:c>
      <x:c r="AE17" s="8"/>
      <x:c r="AF17" s="502" t="str">
        <x:f t="shared" si="50"/>
        <x:v/>
      </x:c>
      <x:c r="AG17" s="503">
        <x:f t="shared" si="51"/>
        <x:v>0</x:v>
      </x:c>
      <x:c r="AH17" s="381" t="str">
        <x:f t="shared" si="4"/>
        <x:v>OK</x:v>
      </x:c>
      <x:c r="AI17" s="8"/>
      <x:c r="AJ17" s="221" t="str">
        <x:f t="shared" si="52"/>
        <x:v/>
      </x:c>
      <x:c r="AK17" s="356" t="str">
        <x:f t="shared" si="53"/>
        <x:v/>
      </x:c>
      <x:c r="AL17" s="356" t="str">
        <x:f t="shared" si="54"/>
        <x:v/>
      </x:c>
      <x:c r="AM17" s="356" t="str">
        <x:f t="shared" si="55"/>
        <x:v/>
      </x:c>
      <x:c r="AN17" s="356" t="str">
        <x:f>IF($AM17="","",IF($AM17="도비","OK",IF($AJ17="세입없음","OK",IF($AJ17="세입번호입력","@@",IF(VLOOKUP($AJ17,'5. 기입'!$AH$6:$AI$1012,2,FALSE)='5. 기출'!$AM17,"OK","@@")))))</x:f>
        <x:v/>
      </x:c>
    </x:row>
    <x:row r="18" spans="1:40" s="20" customFormat="1" ht="80.099999999999994" customHeight="1">
      <x:c r="A18" s="155" t="str">
        <x:f>IF(D18="","",COUNTA($C$7:C18)-COUNTBLANK($C$7:C18)+3)</x:f>
        <x:v/>
      </x:c>
      <x:c r="B18" s="156" t="str">
        <x: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x:f>
        <x:v/>
      </x:c>
      <x:c r="C18" s="156" t="str">
        <x:f>IF(D18="","",IF(OR(D18="교육지원과",D18="총무과",D18="인사과"),"직접입력",VLOOKUP(D18,구분표!$A$3:$C$258,3,)))</x:f>
        <x:v/>
      </x:c>
      <x:c r="D18" s="226"/>
      <x:c r="E18" s="213"/>
      <x:c r="F18" s="388" t="str">
        <x:f t="shared" si="56"/>
        <x:v/>
      </x:c>
      <x:c r="G18" s="388" t="str">
        <x:f t="shared" si="56"/>
        <x:v/>
      </x:c>
      <x:c r="H18" s="213"/>
      <x:c r="I18" s="156" t="str">
        <x:f>IF(H18="","",VLOOKUP($H18,구분표!$K$3:$M$147,2,FALSE))</x:f>
        <x:v/>
      </x:c>
      <x:c r="J18" s="156" t="str">
        <x:f>IF(I18="","",VLOOKUP($H18,구분표!$K$3:$M$147,3,FALSE))</x:f>
        <x:v/>
      </x:c>
      <x:c r="K18" s="233"/>
      <x:c r="L18" s="233"/>
      <x:c r="M18" s="459" t="str">
        <x:f t="shared" si="57"/>
        <x:v/>
      </x:c>
      <x:c r="N18" s="459" t="str">
        <x:f t="shared" si="58"/>
        <x:v/>
      </x:c>
      <x:c r="O18" s="461" t="str">
        <x:f t="shared" si="43"/>
        <x:v/>
      </x:c>
      <x:c r="P18" s="460"/>
      <x:c r="Q18" s="461">
        <x:f t="shared" si="44"/>
        <x:v>0</x:v>
      </x:c>
      <x:c r="R18" s="462"/>
      <x:c r="S18" s="463">
        <x:f t="shared" si="45"/>
        <x:v>0</x:v>
      </x:c>
      <x:c r="T18" s="162" t="str">
        <x:f t="shared" si="46"/>
        <x:v>X</x:v>
      </x:c>
      <x:c r="U18" s="230"/>
      <x:c r="V18" s="224"/>
      <x:c r="W18" s="217"/>
      <x:c r="X18" s="234"/>
      <x:c r="Y18" s="217"/>
      <x:c r="Z18" s="356" t="str">
        <x:f t="shared" si="47"/>
        <x:v/>
      </x:c>
      <x:c r="AA18" s="61"/>
      <x:c r="AB18" s="486" t="str">
        <x:f t="shared" si="48"/>
        <x:v/>
      </x:c>
      <x:c r="AC18" s="487">
        <x:f t="shared" si="49"/>
        <x:v>0</x:v>
      </x:c>
      <x:c r="AD18" s="356" t="str">
        <x:f t="shared" si="3"/>
        <x:v>OK</x:v>
      </x:c>
      <x:c r="AE18" s="8"/>
      <x:c r="AF18" s="502" t="str">
        <x:f t="shared" si="50"/>
        <x:v/>
      </x:c>
      <x:c r="AG18" s="503">
        <x:f t="shared" si="51"/>
        <x:v>0</x:v>
      </x:c>
      <x:c r="AH18" s="381" t="str">
        <x:f t="shared" si="4"/>
        <x:v>OK</x:v>
      </x:c>
      <x:c r="AI18" s="8"/>
      <x:c r="AJ18" s="221" t="str">
        <x:f t="shared" si="52"/>
        <x:v/>
      </x:c>
      <x:c r="AK18" s="356" t="str">
        <x:f t="shared" si="53"/>
        <x:v/>
      </x:c>
      <x:c r="AL18" s="356" t="str">
        <x:f t="shared" si="54"/>
        <x:v/>
      </x:c>
      <x:c r="AM18" s="356" t="str">
        <x:f t="shared" si="55"/>
        <x:v/>
      </x:c>
      <x:c r="AN18" s="356" t="str">
        <x:f>IF($AM18="","",IF($AM18="도비","OK",IF($AJ18="세입없음","OK",IF($AJ18="세입번호입력","@@",IF(VLOOKUP($AJ18,'5. 기입'!$AH$6:$AI$1012,2,FALSE)='5. 기출'!$AM18,"OK","@@")))))</x:f>
        <x:v/>
      </x:c>
    </x:row>
    <x:row r="19" spans="1:40" ht="60" customHeight="1">
      <x:c r="A19" s="167"/>
      <x:c r="B19" s="888" t="s">
        <x:v>1497</x:v>
      </x:c>
      <x:c r="C19" s="888"/>
      <x:c r="D19" s="888"/>
      <x:c r="E19" s="888"/>
      <x:c r="F19" s="888"/>
      <x:c r="G19" s="888"/>
      <x:c r="H19" s="888"/>
      <x:c r="I19" s="888"/>
      <x:c r="J19" s="888"/>
      <x:c r="K19" s="83"/>
      <x:c r="L19" s="363" t="str">
        <x:f>SUBTOTAL(3,L20:L22)&amp;"건"</x:f>
        <x:v>0건</x:v>
      </x:c>
      <x:c r="M19" s="477">
        <x:f t="shared" ref="M19:S19" si="59">SUBTOTAL(9,M20:M22)</x:f>
        <x:v>0</x:v>
      </x:c>
      <x:c r="N19" s="477">
        <x:f t="shared" si="59"/>
        <x:v>0</x:v>
      </x:c>
      <x:c r="O19" s="477">
        <x:f t="shared" si="59"/>
        <x:v>0</x:v>
      </x:c>
      <x:c r="P19" s="477">
        <x:f t="shared" si="59"/>
        <x:v>0</x:v>
      </x:c>
      <x:c r="Q19" s="477">
        <x:f t="shared" si="59"/>
        <x:v>0</x:v>
      </x:c>
      <x:c r="R19" s="477">
        <x:f t="shared" si="59"/>
        <x:v>0</x:v>
      </x:c>
      <x:c r="S19" s="477">
        <x:f t="shared" si="59"/>
        <x:v>0</x:v>
      </x:c>
      <x:c r="T19" s="82"/>
      <x:c r="U19" s="84"/>
      <x:c r="V19" s="84"/>
      <x:c r="W19" s="85"/>
      <x:c r="X19" s="178"/>
      <x:c r="Y19" s="86"/>
      <x:c r="Z19" s="82"/>
      <x:c r="AA19" s="44"/>
      <x:c r="AB19" s="477">
        <x:f t="shared" ref="AB19:AC19" si="60">SUBTOTAL(9,AB20:AB22)</x:f>
        <x:v>0</x:v>
      </x:c>
      <x:c r="AC19" s="477">
        <x:f t="shared" si="60"/>
        <x:v>0</x:v>
      </x:c>
      <x:c r="AD19" s="556" t="str">
        <x:f>IF(COUNTIF(AD20:AD22,"@@")&gt;0,"@@","OK")</x:f>
        <x:v>OK</x:v>
      </x:c>
      <x:c r="AE19" s="53"/>
      <x:c r="AF19" s="477">
        <x:f t="shared" ref="AF19:AG19" si="61">SUBTOTAL(9,AF20:AF22)</x:f>
        <x:v>0</x:v>
      </x:c>
      <x:c r="AG19" s="477">
        <x:f t="shared" si="61"/>
        <x:v>0</x:v>
      </x:c>
      <x:c r="AH19" s="556" t="str">
        <x:f>IF(COUNTIF(AH20:AH22,"@@")&gt;0,"@@","OK")</x:f>
        <x:v>OK</x:v>
      </x:c>
      <x:c r="AI19" s="44"/>
      <x:c r="AJ19" s="81"/>
      <x:c r="AK19" s="81"/>
      <x:c r="AL19" s="556" t="str">
        <x:f>IF(COUNTIF(AL20:AL22,"@@")&gt;0,"@@","OK")</x:f>
        <x:v>OK</x:v>
      </x:c>
      <x:c r="AM19" s="81"/>
      <x:c r="AN19" s="556" t="str">
        <x:f>IF(COUNTIF(AN20:AN22,"@@")&gt;0,"@@","OK")</x:f>
        <x:v>OK</x:v>
      </x:c>
    </x:row>
    <x:row r="20" spans="1:40" s="20" customFormat="1" ht="80.099999999999994" customHeight="1">
      <x:c r="A20" s="155" t="str">
        <x:f>IF(D20="","",COUNTA($C$7:C20)-COUNTBLANK($C$7:C20)+4)</x:f>
        <x:v/>
      </x:c>
      <x:c r="B20" s="156" t="str">
        <x: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x:f>
        <x:v/>
      </x:c>
      <x:c r="C20" s="156" t="str">
        <x:f>IF(D20="","",IF(OR(D20="교육지원과",D20="총무과",D20="인사과"),"직접입력",VLOOKUP(D20,구분표!$A$3:$C$258,3,)))</x:f>
        <x:v/>
      </x:c>
      <x:c r="D20" s="226"/>
      <x:c r="E20" s="213"/>
      <x:c r="F20" s="388" t="str">
        <x:f>IF($E20="","",IF($E20="2추","직접입력","-"))</x:f>
        <x:v/>
      </x:c>
      <x:c r="G20" s="388" t="str">
        <x:f>IF($E20="","",IF($E20="2추","직접입력","-"))</x:f>
        <x:v/>
      </x:c>
      <x:c r="H20" s="213"/>
      <x:c r="I20" s="156" t="str">
        <x:f>IF(H20="","",VLOOKUP($H20,구분표!$K$3:$M$147,2,FALSE))</x:f>
        <x:v/>
      </x:c>
      <x:c r="J20" s="156" t="str">
        <x:f>IF(I20="","",VLOOKUP($H20,구분표!$K$3:$M$147,3,FALSE))</x:f>
        <x:v/>
      </x:c>
      <x:c r="K20" s="233"/>
      <x:c r="L20" s="233"/>
      <x:c r="M20" s="459" t="str">
        <x:f>IF($E20="","",IF(OR($E20="2추",$E20="1추",$E20="본예산"),"금액입력","-"))</x:f>
        <x:v/>
      </x:c>
      <x:c r="N20" s="459" t="str">
        <x:f>IF($E20="","",IF($E20="2추","금액입력","-"))</x:f>
        <x:v/>
      </x:c>
      <x:c r="O20" s="461" t="str">
        <x:f t="shared" ref="O20:O22" si="62">IF($E20="","",SUM(M20:N20))</x:f>
        <x:v/>
      </x:c>
      <x:c r="P20" s="460"/>
      <x:c r="Q20" s="461">
        <x:f t="shared" ref="Q20:Q22" si="63">SUM(O20:P20)</x:f>
        <x:v>0</x:v>
      </x:c>
      <x:c r="R20" s="462"/>
      <x:c r="S20" s="463">
        <x:f t="shared" ref="S20:S22" si="64">SUM(O20,R20)</x:f>
        <x:v>0</x:v>
      </x:c>
      <x:c r="T20" s="162" t="str">
        <x:f t="shared" ref="T20:T22" si="65">IF(AND((Q20=0),(S20&gt;0)),"O",IF(AND((P20&lt;0),(Q20-S20&lt;0)),"O","X"))</x:f>
        <x:v>X</x:v>
      </x:c>
      <x:c r="U20" s="230"/>
      <x:c r="V20" s="224"/>
      <x:c r="W20" s="217"/>
      <x:c r="X20" s="234"/>
      <x:c r="Y20" s="217"/>
      <x:c r="Z20" s="356" t="str">
        <x:f t="shared" ref="Z20:Z22" si="66">IF($K20="","",IF(COUNT(FIND("국비/",$K20)),"국도비",IF(COUNT(FIND("균특/",$K20)),"국도비",IF(COUNT(FIND("기금/",$K20)),"국도비",IF(COUNT(FIND("교부세/",$K20)),"국도비",IF(COUNT(FIND("소방안전/",$K20)),"국도비",IF(COUNT(FIND("소멸대응/",$K20)),"국도비","도비")))))))</x:f>
        <x:v/>
      </x:c>
      <x:c r="AA20" s="61"/>
      <x:c r="AB20" s="486" t="str">
        <x:f t="shared" ref="AB20:AB22" si="67">IF($Z20="","",IF($Z20="국도비","금액입력",0))</x:f>
        <x:v/>
      </x:c>
      <x:c r="AC20" s="487">
        <x:f t="shared" ref="AC20:AC22" si="68">IFERROR(P20-AB20,0)</x:f>
        <x:v>0</x:v>
      </x:c>
      <x:c r="AD20" s="356" t="str">
        <x:f t="shared" si="3"/>
        <x:v>OK</x:v>
      </x:c>
      <x:c r="AE20" s="8"/>
      <x:c r="AF20" s="502" t="str">
        <x:f t="shared" ref="AF20:AF22" si="69">IF($Z20="","",IF($Z20="국도비","금액입력",0))</x:f>
        <x:v/>
      </x:c>
      <x:c r="AG20" s="503">
        <x:f t="shared" ref="AG20:AG22" si="70">IFERROR(R20-AF20,0)</x:f>
        <x:v>0</x:v>
      </x:c>
      <x:c r="AH20" s="381" t="str">
        <x:f t="shared" si="4"/>
        <x:v>OK</x:v>
      </x:c>
      <x:c r="AI20" s="8"/>
      <x:c r="AJ20" s="221" t="str">
        <x:f t="shared" ref="AJ20:AJ22" si="71">IF($Z20="","",IF($Z20="도비","-","세입번호입력"))</x:f>
        <x:v/>
      </x:c>
      <x:c r="AK20" s="356" t="str">
        <x:f t="shared" ref="AK20:AK22" si="72">IF(OR(AJ20="",AJ20="-",AJ20="세입번호입력"),"",COUNTIF($AJ$7:$AJ$1013,AJ20))</x:f>
        <x:v/>
      </x:c>
      <x:c r="AL20" s="356" t="str">
        <x:f t="shared" ref="AL20:AL22" si="73">IF($AJ20="","",IF($Z20="도비","OK",IF(AND($Z20="국도비",$AJ20="세입없음"),"OK",IF(AND($Z20="국도비",$AJ20="세입번호입력"),"@@","OK"))))</x:f>
        <x:v/>
      </x:c>
      <x:c r="AM20" s="356" t="str">
        <x:f t="shared" ref="AM20:AM22" si="74">IF($K20="","",IF(COUNT(FIND("국비/",$K20)),"국비",IF(COUNT(FIND("균특/",$K20)),"균특",IF(COUNT(FIND("기금/",$K20)),"기금",IF(COUNT(FIND("교부세/",$K20)),"특교",IF(COUNT(FIND("소방안전/",$K20)),"소교",IF(COUNT(FIND("소멸대응/",$K20)),"소멸","도비")))))))</x:f>
        <x:v/>
      </x:c>
      <x:c r="AN20" s="356" t="str">
        <x:f>IF($AM20="","",IF($AM20="도비","OK",IF($AJ20="세입없음","OK",IF($AJ20="세입번호입력","@@",IF(VLOOKUP($AJ20,'5. 기입'!$AH$6:$AI$1012,2,FALSE)='5. 기출'!$AM20,"OK","@@")))))</x:f>
        <x:v/>
      </x:c>
    </x:row>
    <x:row r="21" spans="1:40" s="20" customFormat="1" ht="80.099999999999994" customHeight="1">
      <x:c r="A21" s="155" t="str">
        <x:f>IF(D21="","",COUNTA($C$7:C21)-COUNTBLANK($C$7:C21)+4)</x:f>
        <x:v/>
      </x:c>
      <x:c r="B21" s="156" t="str">
        <x: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x:f>
        <x:v/>
      </x:c>
      <x:c r="C21" s="156" t="str">
        <x:f>IF(D21="","",IF(OR(D21="교육지원과",D21="총무과",D21="인사과"),"직접입력",VLOOKUP(D21,구분표!$A$3:$C$258,3,)))</x:f>
        <x:v/>
      </x:c>
      <x:c r="D21" s="226"/>
      <x:c r="E21" s="213"/>
      <x:c r="F21" s="388" t="str">
        <x:f t="shared" ref="F21:G22" si="75">IF($E21="","",IF($E21="2추","직접입력","-"))</x:f>
        <x:v/>
      </x:c>
      <x:c r="G21" s="388" t="str">
        <x:f t="shared" si="75"/>
        <x:v/>
      </x:c>
      <x:c r="H21" s="213"/>
      <x:c r="I21" s="156" t="str">
        <x:f>IF(H21="","",VLOOKUP($H21,구분표!$K$3:$M$147,2,FALSE))</x:f>
        <x:v/>
      </x:c>
      <x:c r="J21" s="156" t="str">
        <x:f>IF(I21="","",VLOOKUP($H21,구분표!$K$3:$M$147,3,FALSE))</x:f>
        <x:v/>
      </x:c>
      <x:c r="K21" s="233"/>
      <x:c r="L21" s="233"/>
      <x:c r="M21" s="459" t="str">
        <x:f t="shared" ref="M21:M22" si="76">IF($E21="","",IF(OR($E21="2추",$E21="1추",$E21="본예산"),"금액입력","-"))</x:f>
        <x:v/>
      </x:c>
      <x:c r="N21" s="459" t="str">
        <x:f t="shared" ref="N21:N22" si="77">IF($E21="","",IF($E21="2추","금액입력","-"))</x:f>
        <x:v/>
      </x:c>
      <x:c r="O21" s="461" t="str">
        <x:f t="shared" si="62"/>
        <x:v/>
      </x:c>
      <x:c r="P21" s="460"/>
      <x:c r="Q21" s="461">
        <x:f t="shared" si="63"/>
        <x:v>0</x:v>
      </x:c>
      <x:c r="R21" s="462"/>
      <x:c r="S21" s="463">
        <x:f t="shared" si="64"/>
        <x:v>0</x:v>
      </x:c>
      <x:c r="T21" s="162" t="str">
        <x:f t="shared" si="65"/>
        <x:v>X</x:v>
      </x:c>
      <x:c r="U21" s="230"/>
      <x:c r="V21" s="224"/>
      <x:c r="W21" s="217"/>
      <x:c r="X21" s="234"/>
      <x:c r="Y21" s="217"/>
      <x:c r="Z21" s="356" t="str">
        <x:f t="shared" si="66"/>
        <x:v/>
      </x:c>
      <x:c r="AA21" s="61"/>
      <x:c r="AB21" s="486" t="str">
        <x:f t="shared" si="67"/>
        <x:v/>
      </x:c>
      <x:c r="AC21" s="487">
        <x:f t="shared" si="68"/>
        <x:v>0</x:v>
      </x:c>
      <x:c r="AD21" s="356" t="str">
        <x:f t="shared" si="3"/>
        <x:v>OK</x:v>
      </x:c>
      <x:c r="AE21" s="8"/>
      <x:c r="AF21" s="502" t="str">
        <x:f t="shared" si="69"/>
        <x:v/>
      </x:c>
      <x:c r="AG21" s="503">
        <x:f t="shared" si="70"/>
        <x:v>0</x:v>
      </x:c>
      <x:c r="AH21" s="381" t="str">
        <x:f t="shared" si="4"/>
        <x:v>OK</x:v>
      </x:c>
      <x:c r="AI21" s="8"/>
      <x:c r="AJ21" s="221" t="str">
        <x:f t="shared" si="71"/>
        <x:v/>
      </x:c>
      <x:c r="AK21" s="356" t="str">
        <x:f t="shared" si="72"/>
        <x:v/>
      </x:c>
      <x:c r="AL21" s="356" t="str">
        <x:f t="shared" si="73"/>
        <x:v/>
      </x:c>
      <x:c r="AM21" s="356" t="str">
        <x:f t="shared" si="74"/>
        <x:v/>
      </x:c>
      <x:c r="AN21" s="356" t="str">
        <x:f>IF($AM21="","",IF($AM21="도비","OK",IF($AJ21="세입없음","OK",IF($AJ21="세입번호입력","@@",IF(VLOOKUP($AJ21,'5. 기입'!$AH$6:$AI$1012,2,FALSE)='5. 기출'!$AM21,"OK","@@")))))</x:f>
        <x:v/>
      </x:c>
    </x:row>
    <x:row r="22" spans="1:40" s="20" customFormat="1" ht="80.099999999999994" customHeight="1">
      <x:c r="A22" s="155" t="str">
        <x:f>IF(D22="","",COUNTA($C$7:C22)-COUNTBLANK($C$7:C22)+4)</x:f>
        <x:v/>
      </x:c>
      <x:c r="B22" s="156" t="str">
        <x: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x:f>
        <x:v/>
      </x:c>
      <x:c r="C22" s="156" t="str">
        <x:f>IF(D22="","",IF(OR(D22="교육지원과",D22="총무과",D22="인사과"),"직접입력",VLOOKUP(D22,구분표!$A$3:$C$258,3,)))</x:f>
        <x:v/>
      </x:c>
      <x:c r="D22" s="226"/>
      <x:c r="E22" s="213"/>
      <x:c r="F22" s="388" t="str">
        <x:f t="shared" si="75"/>
        <x:v/>
      </x:c>
      <x:c r="G22" s="388" t="str">
        <x:f t="shared" si="75"/>
        <x:v/>
      </x:c>
      <x:c r="H22" s="213"/>
      <x:c r="I22" s="156" t="str">
        <x:f>IF(H22="","",VLOOKUP($H22,구분표!$K$3:$M$147,2,FALSE))</x:f>
        <x:v/>
      </x:c>
      <x:c r="J22" s="156" t="str">
        <x:f>IF(I22="","",VLOOKUP($H22,구분표!$K$3:$M$147,3,FALSE))</x:f>
        <x:v/>
      </x:c>
      <x:c r="K22" s="233"/>
      <x:c r="L22" s="233"/>
      <x:c r="M22" s="459" t="str">
        <x:f t="shared" si="76"/>
        <x:v/>
      </x:c>
      <x:c r="N22" s="459" t="str">
        <x:f t="shared" si="77"/>
        <x:v/>
      </x:c>
      <x:c r="O22" s="461" t="str">
        <x:f t="shared" si="62"/>
        <x:v/>
      </x:c>
      <x:c r="P22" s="460"/>
      <x:c r="Q22" s="461">
        <x:f t="shared" si="63"/>
        <x:v>0</x:v>
      </x:c>
      <x:c r="R22" s="462"/>
      <x:c r="S22" s="463">
        <x:f t="shared" si="64"/>
        <x:v>0</x:v>
      </x:c>
      <x:c r="T22" s="162" t="str">
        <x:f t="shared" si="65"/>
        <x:v>X</x:v>
      </x:c>
      <x:c r="U22" s="230"/>
      <x:c r="V22" s="224"/>
      <x:c r="W22" s="217"/>
      <x:c r="X22" s="234"/>
      <x:c r="Y22" s="217"/>
      <x:c r="Z22" s="356" t="str">
        <x:f t="shared" si="66"/>
        <x:v/>
      </x:c>
      <x:c r="AA22" s="61"/>
      <x:c r="AB22" s="486" t="str">
        <x:f t="shared" si="67"/>
        <x:v/>
      </x:c>
      <x:c r="AC22" s="487">
        <x:f t="shared" si="68"/>
        <x:v>0</x:v>
      </x:c>
      <x:c r="AD22" s="356" t="str">
        <x:f t="shared" si="3"/>
        <x:v>OK</x:v>
      </x:c>
      <x:c r="AE22" s="8"/>
      <x:c r="AF22" s="502" t="str">
        <x:f t="shared" si="69"/>
        <x:v/>
      </x:c>
      <x:c r="AG22" s="503">
        <x:f t="shared" si="70"/>
        <x:v>0</x:v>
      </x:c>
      <x:c r="AH22" s="381" t="str">
        <x:f t="shared" si="4"/>
        <x:v>OK</x:v>
      </x:c>
      <x:c r="AI22" s="8"/>
      <x:c r="AJ22" s="221" t="str">
        <x:f t="shared" si="71"/>
        <x:v/>
      </x:c>
      <x:c r="AK22" s="356" t="str">
        <x:f t="shared" si="72"/>
        <x:v/>
      </x:c>
      <x:c r="AL22" s="356" t="str">
        <x:f t="shared" si="73"/>
        <x:v/>
      </x:c>
      <x:c r="AM22" s="356" t="str">
        <x:f t="shared" si="74"/>
        <x:v/>
      </x:c>
      <x:c r="AN22" s="356" t="str">
        <x:f>IF($AM22="","",IF($AM22="도비","OK",IF($AJ22="세입없음","OK",IF($AJ22="세입번호입력","@@",IF(VLOOKUP($AJ22,'5. 기입'!$AH$6:$AI$1012,2,FALSE)='5. 기출'!$AM22,"OK","@@")))))</x:f>
        <x:v/>
      </x:c>
    </x:row>
    <x:row r="23" spans="1:40" ht="60" customHeight="1">
      <x:c r="A23" s="167"/>
      <x:c r="B23" s="888" t="s">
        <x:v>880</x:v>
      </x:c>
      <x:c r="C23" s="888"/>
      <x:c r="D23" s="888"/>
      <x:c r="E23" s="888"/>
      <x:c r="F23" s="888"/>
      <x:c r="G23" s="888"/>
      <x:c r="H23" s="888"/>
      <x:c r="I23" s="888"/>
      <x:c r="J23" s="888"/>
      <x:c r="K23" s="83"/>
      <x:c r="L23" s="363" t="str">
        <x:f>SUBTOTAL(3,L24:L26)&amp;"건"</x:f>
        <x:v>0건</x:v>
      </x:c>
      <x:c r="M23" s="477">
        <x:f t="shared" ref="M23:S23" si="78">SUBTOTAL(9,M24:M26)</x:f>
        <x:v>0</x:v>
      </x:c>
      <x:c r="N23" s="477">
        <x:f t="shared" si="78"/>
        <x:v>0</x:v>
      </x:c>
      <x:c r="O23" s="477">
        <x:f t="shared" si="78"/>
        <x:v>0</x:v>
      </x:c>
      <x:c r="P23" s="477">
        <x:f t="shared" si="78"/>
        <x:v>0</x:v>
      </x:c>
      <x:c r="Q23" s="477">
        <x:f t="shared" si="78"/>
        <x:v>0</x:v>
      </x:c>
      <x:c r="R23" s="477">
        <x:f t="shared" si="78"/>
        <x:v>0</x:v>
      </x:c>
      <x:c r="S23" s="477">
        <x:f t="shared" si="78"/>
        <x:v>0</x:v>
      </x:c>
      <x:c r="T23" s="82"/>
      <x:c r="U23" s="84"/>
      <x:c r="V23" s="84"/>
      <x:c r="W23" s="85"/>
      <x:c r="X23" s="178"/>
      <x:c r="Y23" s="86"/>
      <x:c r="Z23" s="82"/>
      <x:c r="AA23" s="44"/>
      <x:c r="AB23" s="477">
        <x:f t="shared" ref="AB23:AC23" si="79">SUBTOTAL(9,AB24:AB26)</x:f>
        <x:v>0</x:v>
      </x:c>
      <x:c r="AC23" s="477">
        <x:f t="shared" si="79"/>
        <x:v>0</x:v>
      </x:c>
      <x:c r="AD23" s="556" t="str">
        <x:f>IF(COUNTIF(AD24:AD26,"@@")&gt;0,"@@","OK")</x:f>
        <x:v>OK</x:v>
      </x:c>
      <x:c r="AE23" s="53"/>
      <x:c r="AF23" s="477">
        <x:f t="shared" ref="AF23:AG23" si="80">SUBTOTAL(9,AF24:AF26)</x:f>
        <x:v>0</x:v>
      </x:c>
      <x:c r="AG23" s="477">
        <x:f t="shared" si="80"/>
        <x:v>0</x:v>
      </x:c>
      <x:c r="AH23" s="556" t="str">
        <x:f>IF(COUNTIF(AH24:AH26,"@@")&gt;0,"@@","OK")</x:f>
        <x:v>OK</x:v>
      </x:c>
      <x:c r="AI23" s="44"/>
      <x:c r="AJ23" s="81"/>
      <x:c r="AK23" s="81"/>
      <x:c r="AL23" s="556" t="str">
        <x:f>IF(COUNTIF(AL24:AL26,"@@")&gt;0,"@@","OK")</x:f>
        <x:v>OK</x:v>
      </x:c>
      <x:c r="AM23" s="81"/>
      <x:c r="AN23" s="556" t="str">
        <x:f>IF(COUNTIF(AN24:AN26,"@@")&gt;0,"@@","OK")</x:f>
        <x:v>OK</x:v>
      </x:c>
    </x:row>
    <x:row r="24" spans="1:40" s="20" customFormat="1" ht="80.099999999999994" customHeight="1">
      <x:c r="A24" s="155" t="str">
        <x:f>IF(D24="","",COUNTA($C$7:C24)-COUNTBLANK($C$7:C24)+5)</x:f>
        <x:v/>
      </x:c>
      <x:c r="B24" s="156" t="str">
        <x: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x:f>
        <x:v/>
      </x:c>
      <x:c r="C24" s="156" t="str">
        <x:f>IF(D24="","",IF(OR(D24="교육지원과",D24="총무과",D24="인사과"),"직접입력",VLOOKUP(D24,구분표!$A$3:$C$258,3,)))</x:f>
        <x:v/>
      </x:c>
      <x:c r="D24" s="226"/>
      <x:c r="E24" s="213"/>
      <x:c r="F24" s="388" t="str">
        <x:f>IF($E24="","",IF($E24="2추","직접입력","-"))</x:f>
        <x:v/>
      </x:c>
      <x:c r="G24" s="388" t="str">
        <x:f>IF($E24="","",IF($E24="2추","직접입력","-"))</x:f>
        <x:v/>
      </x:c>
      <x:c r="H24" s="213"/>
      <x:c r="I24" s="156" t="str">
        <x:f>IF(H24="","",VLOOKUP($H24,구분표!$K$3:$M$147,2,FALSE))</x:f>
        <x:v/>
      </x:c>
      <x:c r="J24" s="156" t="str">
        <x:f>IF(I24="","",VLOOKUP($H24,구분표!$K$3:$M$147,3,FALSE))</x:f>
        <x:v/>
      </x:c>
      <x:c r="K24" s="233"/>
      <x:c r="L24" s="233"/>
      <x:c r="M24" s="459" t="str">
        <x:f>IF($E24="","",IF(OR($E24="2추",$E24="1추",$E24="본예산"),"금액입력","-"))</x:f>
        <x:v/>
      </x:c>
      <x:c r="N24" s="459" t="str">
        <x:f>IF($E24="","",IF($E24="2추","금액입력","-"))</x:f>
        <x:v/>
      </x:c>
      <x:c r="O24" s="461" t="str">
        <x:f t="shared" ref="O24:O26" si="81">IF($E24="","",SUM(M24:N24))</x:f>
        <x:v/>
      </x:c>
      <x:c r="P24" s="460"/>
      <x:c r="Q24" s="461">
        <x:f t="shared" ref="Q24:Q26" si="82">SUM(O24:P24)</x:f>
        <x:v>0</x:v>
      </x:c>
      <x:c r="R24" s="462"/>
      <x:c r="S24" s="463">
        <x:f t="shared" ref="S24:S26" si="83">SUM(O24,R24)</x:f>
        <x:v>0</x:v>
      </x:c>
      <x:c r="T24" s="162" t="str">
        <x:f t="shared" ref="T24:T26" si="84">IF(AND((Q24=0),(S24&gt;0)),"O",IF(AND((P24&lt;0),(Q24-S24&lt;0)),"O","X"))</x:f>
        <x:v>X</x:v>
      </x:c>
      <x:c r="U24" s="230"/>
      <x:c r="V24" s="224"/>
      <x:c r="W24" s="217"/>
      <x:c r="X24" s="234"/>
      <x:c r="Y24" s="217"/>
      <x:c r="Z24" s="356" t="str">
        <x:f t="shared" ref="Z24:Z26" si="85">IF($K24="","",IF(COUNT(FIND("국비/",$K24)),"국도비",IF(COUNT(FIND("균특/",$K24)),"국도비",IF(COUNT(FIND("기금/",$K24)),"국도비",IF(COUNT(FIND("교부세/",$K24)),"국도비",IF(COUNT(FIND("소방안전/",$K24)),"국도비",IF(COUNT(FIND("소멸대응/",$K24)),"국도비","도비")))))))</x:f>
        <x:v/>
      </x:c>
      <x:c r="AA24" s="61"/>
      <x:c r="AB24" s="486" t="str">
        <x:f t="shared" ref="AB24:AB26" si="86">IF($Z24="","",IF($Z24="국도비","금액입력",0))</x:f>
        <x:v/>
      </x:c>
      <x:c r="AC24" s="487">
        <x:f t="shared" ref="AC24:AC26" si="87">IFERROR(P24-AB24,0)</x:f>
        <x:v>0</x:v>
      </x:c>
      <x:c r="AD24" s="356" t="str">
        <x:f t="shared" si="3"/>
        <x:v>OK</x:v>
      </x:c>
      <x:c r="AE24" s="8"/>
      <x:c r="AF24" s="502" t="str">
        <x:f t="shared" ref="AF24:AF26" si="88">IF($Z24="","",IF($Z24="국도비","금액입력",0))</x:f>
        <x:v/>
      </x:c>
      <x:c r="AG24" s="503">
        <x:f t="shared" ref="AG24:AG26" si="89">IFERROR(R24-AF24,0)</x:f>
        <x:v>0</x:v>
      </x:c>
      <x:c r="AH24" s="381" t="str">
        <x:f t="shared" si="4"/>
        <x:v>OK</x:v>
      </x:c>
      <x:c r="AI24" s="8"/>
      <x:c r="AJ24" s="221" t="str">
        <x:f t="shared" ref="AJ24:AJ26" si="90">IF($Z24="","",IF($Z24="도비","-","세입번호입력"))</x:f>
        <x:v/>
      </x:c>
      <x:c r="AK24" s="356" t="str">
        <x:f t="shared" ref="AK24:AK26" si="91">IF(OR(AJ24="",AJ24="-",AJ24="세입번호입력"),"",COUNTIF($AJ$7:$AJ$1013,AJ24))</x:f>
        <x:v/>
      </x:c>
      <x:c r="AL24" s="356" t="str">
        <x:f t="shared" ref="AL24:AL26" si="92">IF($AJ24="","",IF($Z24="도비","OK",IF(AND($Z24="국도비",$AJ24="세입없음"),"OK",IF(AND($Z24="국도비",$AJ24="세입번호입력"),"@@","OK"))))</x:f>
        <x:v/>
      </x:c>
      <x:c r="AM24" s="356" t="str">
        <x:f t="shared" ref="AM24:AM26" si="93">IF($K24="","",IF(COUNT(FIND("국비/",$K24)),"국비",IF(COUNT(FIND("균특/",$K24)),"균특",IF(COUNT(FIND("기금/",$K24)),"기금",IF(COUNT(FIND("교부세/",$K24)),"특교",IF(COUNT(FIND("소방안전/",$K24)),"소교",IF(COUNT(FIND("소멸대응/",$K24)),"소멸","도비")))))))</x:f>
        <x:v/>
      </x:c>
      <x:c r="AN24" s="356" t="str">
        <x:f>IF($AM24="","",IF($AM24="도비","OK",IF($AJ24="세입없음","OK",IF($AJ24="세입번호입력","@@",IF(VLOOKUP($AJ24,'5. 기입'!$AH$6:$AI$1012,2,FALSE)='5. 기출'!$AM24,"OK","@@")))))</x:f>
        <x:v/>
      </x:c>
    </x:row>
    <x:row r="25" spans="1:40" s="20" customFormat="1" ht="80.099999999999994" customHeight="1">
      <x:c r="A25" s="155" t="str">
        <x:f>IF(D25="","",COUNTA($C$7:C25)-COUNTBLANK($C$7:C25)+5)</x:f>
        <x:v/>
      </x:c>
      <x:c r="B25" s="156" t="str">
        <x: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x:f>
        <x:v/>
      </x:c>
      <x:c r="C25" s="156" t="str">
        <x:f>IF(D25="","",IF(OR(D25="교육지원과",D25="총무과",D25="인사과"),"직접입력",VLOOKUP(D25,구분표!$A$3:$C$258,3,)))</x:f>
        <x:v/>
      </x:c>
      <x:c r="D25" s="226"/>
      <x:c r="E25" s="213"/>
      <x:c r="F25" s="388" t="str">
        <x:f t="shared" ref="F25:G26" si="94">IF($E25="","",IF($E25="2추","직접입력","-"))</x:f>
        <x:v/>
      </x:c>
      <x:c r="G25" s="388" t="str">
        <x:f t="shared" si="94"/>
        <x:v/>
      </x:c>
      <x:c r="H25" s="213"/>
      <x:c r="I25" s="156" t="str">
        <x:f>IF(H25="","",VLOOKUP($H25,구분표!$K$3:$M$147,2,FALSE))</x:f>
        <x:v/>
      </x:c>
      <x:c r="J25" s="156" t="str">
        <x:f>IF(I25="","",VLOOKUP($H25,구분표!$K$3:$M$147,3,FALSE))</x:f>
        <x:v/>
      </x:c>
      <x:c r="K25" s="233"/>
      <x:c r="L25" s="233"/>
      <x:c r="M25" s="459" t="str">
        <x:f t="shared" ref="M25:M26" si="95">IF($E25="","",IF(OR($E25="2추",$E25="1추",$E25="본예산"),"금액입력","-"))</x:f>
        <x:v/>
      </x:c>
      <x:c r="N25" s="459" t="str">
        <x:f t="shared" ref="N25:N26" si="96">IF($E25="","",IF($E25="2추","금액입력","-"))</x:f>
        <x:v/>
      </x:c>
      <x:c r="O25" s="461" t="str">
        <x:f t="shared" si="81"/>
        <x:v/>
      </x:c>
      <x:c r="P25" s="460"/>
      <x:c r="Q25" s="461">
        <x:f t="shared" si="82"/>
        <x:v>0</x:v>
      </x:c>
      <x:c r="R25" s="462"/>
      <x:c r="S25" s="463">
        <x:f t="shared" si="83"/>
        <x:v>0</x:v>
      </x:c>
      <x:c r="T25" s="162" t="str">
        <x:f t="shared" si="84"/>
        <x:v>X</x:v>
      </x:c>
      <x:c r="U25" s="230"/>
      <x:c r="V25" s="224"/>
      <x:c r="W25" s="217"/>
      <x:c r="X25" s="234"/>
      <x:c r="Y25" s="217"/>
      <x:c r="Z25" s="356" t="str">
        <x:f t="shared" si="85"/>
        <x:v/>
      </x:c>
      <x:c r="AA25" s="61"/>
      <x:c r="AB25" s="486" t="str">
        <x:f t="shared" si="86"/>
        <x:v/>
      </x:c>
      <x:c r="AC25" s="487">
        <x:f t="shared" si="87"/>
        <x:v>0</x:v>
      </x:c>
      <x:c r="AD25" s="356" t="str">
        <x:f t="shared" si="3"/>
        <x:v>OK</x:v>
      </x:c>
      <x:c r="AE25" s="8"/>
      <x:c r="AF25" s="502" t="str">
        <x:f t="shared" si="88"/>
        <x:v/>
      </x:c>
      <x:c r="AG25" s="503">
        <x:f t="shared" si="89"/>
        <x:v>0</x:v>
      </x:c>
      <x:c r="AH25" s="381" t="str">
        <x:f t="shared" si="4"/>
        <x:v>OK</x:v>
      </x:c>
      <x:c r="AI25" s="8"/>
      <x:c r="AJ25" s="221" t="str">
        <x:f t="shared" si="90"/>
        <x:v/>
      </x:c>
      <x:c r="AK25" s="356" t="str">
        <x:f t="shared" si="91"/>
        <x:v/>
      </x:c>
      <x:c r="AL25" s="356" t="str">
        <x:f t="shared" si="92"/>
        <x:v/>
      </x:c>
      <x:c r="AM25" s="356" t="str">
        <x:f t="shared" si="93"/>
        <x:v/>
      </x:c>
      <x:c r="AN25" s="356" t="str">
        <x:f>IF($AM25="","",IF($AM25="도비","OK",IF($AJ25="세입없음","OK",IF($AJ25="세입번호입력","@@",IF(VLOOKUP($AJ25,'5. 기입'!$AH$6:$AI$1012,2,FALSE)='5. 기출'!$AM25,"OK","@@")))))</x:f>
        <x:v/>
      </x:c>
    </x:row>
    <x:row r="26" spans="1:40" s="20" customFormat="1" ht="80.099999999999994" customHeight="1">
      <x:c r="A26" s="155" t="str">
        <x:f>IF(D26="","",COUNTA($C$7:C26)-COUNTBLANK($C$7:C26)+5)</x:f>
        <x:v/>
      </x:c>
      <x:c r="B26" s="156" t="str">
        <x: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x:f>
        <x:v/>
      </x:c>
      <x:c r="C26" s="156" t="str">
        <x:f>IF(D26="","",IF(OR(D26="교육지원과",D26="총무과",D26="인사과"),"직접입력",VLOOKUP(D26,구분표!$A$3:$C$258,3,)))</x:f>
        <x:v/>
      </x:c>
      <x:c r="D26" s="226"/>
      <x:c r="E26" s="213"/>
      <x:c r="F26" s="388" t="str">
        <x:f t="shared" si="94"/>
        <x:v/>
      </x:c>
      <x:c r="G26" s="388" t="str">
        <x:f t="shared" si="94"/>
        <x:v/>
      </x:c>
      <x:c r="H26" s="213"/>
      <x:c r="I26" s="156" t="str">
        <x:f>IF(H26="","",VLOOKUP($H26,구분표!$K$3:$M$147,2,FALSE))</x:f>
        <x:v/>
      </x:c>
      <x:c r="J26" s="156" t="str">
        <x:f>IF(I26="","",VLOOKUP($H26,구분표!$K$3:$M$147,3,FALSE))</x:f>
        <x:v/>
      </x:c>
      <x:c r="K26" s="233"/>
      <x:c r="L26" s="233"/>
      <x:c r="M26" s="459" t="str">
        <x:f t="shared" si="95"/>
        <x:v/>
      </x:c>
      <x:c r="N26" s="459" t="str">
        <x:f t="shared" si="96"/>
        <x:v/>
      </x:c>
      <x:c r="O26" s="461" t="str">
        <x:f t="shared" si="81"/>
        <x:v/>
      </x:c>
      <x:c r="P26" s="460"/>
      <x:c r="Q26" s="461">
        <x:f t="shared" si="82"/>
        <x:v>0</x:v>
      </x:c>
      <x:c r="R26" s="462"/>
      <x:c r="S26" s="463">
        <x:f t="shared" si="83"/>
        <x:v>0</x:v>
      </x:c>
      <x:c r="T26" s="162" t="str">
        <x:f t="shared" si="84"/>
        <x:v>X</x:v>
      </x:c>
      <x:c r="U26" s="230"/>
      <x:c r="V26" s="224"/>
      <x:c r="W26" s="217"/>
      <x:c r="X26" s="234"/>
      <x:c r="Y26" s="217"/>
      <x:c r="Z26" s="356" t="str">
        <x:f t="shared" si="85"/>
        <x:v/>
      </x:c>
      <x:c r="AA26" s="61"/>
      <x:c r="AB26" s="486" t="str">
        <x:f t="shared" si="86"/>
        <x:v/>
      </x:c>
      <x:c r="AC26" s="487">
        <x:f t="shared" si="87"/>
        <x:v>0</x:v>
      </x:c>
      <x:c r="AD26" s="356" t="str">
        <x:f t="shared" si="3"/>
        <x:v>OK</x:v>
      </x:c>
      <x:c r="AE26" s="8"/>
      <x:c r="AF26" s="502" t="str">
        <x:f t="shared" si="88"/>
        <x:v/>
      </x:c>
      <x:c r="AG26" s="503">
        <x:f t="shared" si="89"/>
        <x:v>0</x:v>
      </x:c>
      <x:c r="AH26" s="381" t="str">
        <x:f t="shared" si="4"/>
        <x:v>OK</x:v>
      </x:c>
      <x:c r="AI26" s="8"/>
      <x:c r="AJ26" s="221" t="str">
        <x:f t="shared" si="90"/>
        <x:v/>
      </x:c>
      <x:c r="AK26" s="356" t="str">
        <x:f t="shared" si="91"/>
        <x:v/>
      </x:c>
      <x:c r="AL26" s="356" t="str">
        <x:f t="shared" si="92"/>
        <x:v/>
      </x:c>
      <x:c r="AM26" s="356" t="str">
        <x:f t="shared" si="93"/>
        <x:v/>
      </x:c>
      <x:c r="AN26" s="356" t="str">
        <x:f>IF($AM26="","",IF($AM26="도비","OK",IF($AJ26="세입없음","OK",IF($AJ26="세입번호입력","@@",IF(VLOOKUP($AJ26,'5. 기입'!$AH$6:$AI$1012,2,FALSE)='5. 기출'!$AM26,"OK","@@")))))</x:f>
        <x:v/>
      </x:c>
    </x:row>
    <x:row r="27" spans="1:40" ht="60" customHeight="1">
      <x:c r="A27" s="167"/>
      <x:c r="B27" s="888" t="s">
        <x:v>1648</x:v>
      </x:c>
      <x:c r="C27" s="888"/>
      <x:c r="D27" s="888"/>
      <x:c r="E27" s="888"/>
      <x:c r="F27" s="888"/>
      <x:c r="G27" s="888"/>
      <x:c r="H27" s="888"/>
      <x:c r="I27" s="888"/>
      <x:c r="J27" s="888"/>
      <x:c r="K27" s="83"/>
      <x:c r="L27" s="363" t="str">
        <x:f>SUBTOTAL(3,L28:L30)&amp;"건"</x:f>
        <x:v>0건</x:v>
      </x:c>
      <x:c r="M27" s="477">
        <x:f t="shared" ref="M27:S27" si="97">SUBTOTAL(9,M28:M30)</x:f>
        <x:v>0</x:v>
      </x:c>
      <x:c r="N27" s="477">
        <x:f t="shared" si="97"/>
        <x:v>0</x:v>
      </x:c>
      <x:c r="O27" s="477">
        <x:f t="shared" si="97"/>
        <x:v>0</x:v>
      </x:c>
      <x:c r="P27" s="477">
        <x:f t="shared" si="97"/>
        <x:v>0</x:v>
      </x:c>
      <x:c r="Q27" s="477">
        <x:f t="shared" si="97"/>
        <x:v>0</x:v>
      </x:c>
      <x:c r="R27" s="477">
        <x:f t="shared" si="97"/>
        <x:v>0</x:v>
      </x:c>
      <x:c r="S27" s="477">
        <x:f t="shared" si="97"/>
        <x:v>0</x:v>
      </x:c>
      <x:c r="T27" s="82"/>
      <x:c r="U27" s="84"/>
      <x:c r="V27" s="84"/>
      <x:c r="W27" s="85"/>
      <x:c r="X27" s="178"/>
      <x:c r="Y27" s="86"/>
      <x:c r="Z27" s="82"/>
      <x:c r="AA27" s="44"/>
      <x:c r="AB27" s="477">
        <x:f t="shared" ref="AB27:AC27" si="98">SUBTOTAL(9,AB28:AB30)</x:f>
        <x:v>0</x:v>
      </x:c>
      <x:c r="AC27" s="477">
        <x:f t="shared" si="98"/>
        <x:v>0</x:v>
      </x:c>
      <x:c r="AD27" s="556" t="str">
        <x:f>IF(COUNTIF(AD28:AD30,"@@")&gt;0,"@@","OK")</x:f>
        <x:v>OK</x:v>
      </x:c>
      <x:c r="AE27" s="53"/>
      <x:c r="AF27" s="477">
        <x:f t="shared" ref="AF27:AG27" si="99">SUBTOTAL(9,AF28:AF30)</x:f>
        <x:v>0</x:v>
      </x:c>
      <x:c r="AG27" s="477">
        <x:f t="shared" si="99"/>
        <x:v>0</x:v>
      </x:c>
      <x:c r="AH27" s="556" t="str">
        <x:f>IF(COUNTIF(AH28:AH30,"@@")&gt;0,"@@","OK")</x:f>
        <x:v>OK</x:v>
      </x:c>
      <x:c r="AI27" s="44"/>
      <x:c r="AJ27" s="81"/>
      <x:c r="AK27" s="81"/>
      <x:c r="AL27" s="556" t="str">
        <x:f>IF(COUNTIF(AL28:AL30,"@@")&gt;0,"@@","OK")</x:f>
        <x:v>OK</x:v>
      </x:c>
      <x:c r="AM27" s="81"/>
      <x:c r="AN27" s="556" t="str">
        <x:f>IF(COUNTIF(AN28:AN30,"@@")&gt;0,"@@","OK")</x:f>
        <x:v>OK</x:v>
      </x:c>
    </x:row>
    <x:row r="28" spans="1:40" s="20" customFormat="1" ht="80.099999999999994" customHeight="1">
      <x:c r="A28" s="155" t="str">
        <x:f>IF(D28="","",COUNTA($C$7:C28)-COUNTBLANK($C$7:C28)+6)</x:f>
        <x:v/>
      </x:c>
      <x:c r="B28" s="156" t="str">
        <x: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x:f>
        <x:v/>
      </x:c>
      <x:c r="C28" s="156" t="str">
        <x:f>IF(D28="","",IF(OR(D28="교육지원과",D28="총무과",D28="인사과"),"직접입력",VLOOKUP(D28,구분표!$A$3:$C$258,3,)))</x:f>
        <x:v/>
      </x:c>
      <x:c r="D28" s="226"/>
      <x:c r="E28" s="213"/>
      <x:c r="F28" s="388" t="str">
        <x:f>IF($E28="","",IF($E28="2추","직접입력","-"))</x:f>
        <x:v/>
      </x:c>
      <x:c r="G28" s="388" t="str">
        <x:f>IF($E28="","",IF($E28="2추","직접입력","-"))</x:f>
        <x:v/>
      </x:c>
      <x:c r="H28" s="213"/>
      <x:c r="I28" s="156" t="str">
        <x:f>IF(H28="","",VLOOKUP($H28,구분표!$K$3:$M$147,2,FALSE))</x:f>
        <x:v/>
      </x:c>
      <x:c r="J28" s="156" t="str">
        <x:f>IF(I28="","",VLOOKUP($H28,구분표!$K$3:$M$147,3,FALSE))</x:f>
        <x:v/>
      </x:c>
      <x:c r="K28" s="233"/>
      <x:c r="L28" s="233"/>
      <x:c r="M28" s="459" t="str">
        <x:f>IF($E28="","",IF(OR($E28="2추",$E28="1추",$E28="본예산"),"금액입력","-"))</x:f>
        <x:v/>
      </x:c>
      <x:c r="N28" s="459" t="str">
        <x:f>IF($E28="","",IF($E28="2추","금액입력","-"))</x:f>
        <x:v/>
      </x:c>
      <x:c r="O28" s="461" t="str">
        <x:f t="shared" ref="O28:O30" si="100">IF($E28="","",SUM(M28:N28))</x:f>
        <x:v/>
      </x:c>
      <x:c r="P28" s="460"/>
      <x:c r="Q28" s="461">
        <x:f t="shared" ref="Q28:Q30" si="101">SUM(O28:P28)</x:f>
        <x:v>0</x:v>
      </x:c>
      <x:c r="R28" s="462"/>
      <x:c r="S28" s="463">
        <x:f t="shared" ref="S28:S30" si="102">SUM(O28,R28)</x:f>
        <x:v>0</x:v>
      </x:c>
      <x:c r="T28" s="162" t="str">
        <x:f t="shared" ref="T28:T30" si="103">IF(AND((Q28=0),(S28&gt;0)),"O",IF(AND((P28&lt;0),(Q28-S28&lt;0)),"O","X"))</x:f>
        <x:v>X</x:v>
      </x:c>
      <x:c r="U28" s="230"/>
      <x:c r="V28" s="224"/>
      <x:c r="W28" s="217"/>
      <x:c r="X28" s="234"/>
      <x:c r="Y28" s="217"/>
      <x:c r="Z28" s="356" t="str">
        <x:f t="shared" ref="Z28:Z30" si="104">IF($K28="","",IF(COUNT(FIND("국비/",$K28)),"국도비",IF(COUNT(FIND("균특/",$K28)),"국도비",IF(COUNT(FIND("기금/",$K28)),"국도비",IF(COUNT(FIND("교부세/",$K28)),"국도비",IF(COUNT(FIND("소방안전/",$K28)),"국도비",IF(COUNT(FIND("소멸대응/",$K28)),"국도비","도비")))))))</x:f>
        <x:v/>
      </x:c>
      <x:c r="AA28" s="61"/>
      <x:c r="AB28" s="486" t="str">
        <x:f t="shared" ref="AB28:AB30" si="105">IF($Z28="","",IF($Z28="국도비","금액입력",0))</x:f>
        <x:v/>
      </x:c>
      <x:c r="AC28" s="487">
        <x:f t="shared" ref="AC28:AC30" si="106">IFERROR(P28-AB28,0)</x:f>
        <x:v>0</x:v>
      </x:c>
      <x:c r="AD28" s="356" t="str">
        <x:f t="shared" si="3"/>
        <x:v>OK</x:v>
      </x:c>
      <x:c r="AE28" s="8"/>
      <x:c r="AF28" s="502" t="str">
        <x:f t="shared" ref="AF28:AF30" si="107">IF($Z28="","",IF($Z28="국도비","금액입력",0))</x:f>
        <x:v/>
      </x:c>
      <x:c r="AG28" s="503">
        <x:f t="shared" ref="AG28:AG30" si="108">IFERROR(R28-AF28,0)</x:f>
        <x:v>0</x:v>
      </x:c>
      <x:c r="AH28" s="381" t="str">
        <x:f t="shared" si="4"/>
        <x:v>OK</x:v>
      </x:c>
      <x:c r="AI28" s="8"/>
      <x:c r="AJ28" s="221" t="str">
        <x:f t="shared" ref="AJ28:AJ30" si="109">IF($Z28="","",IF($Z28="도비","-","세입번호입력"))</x:f>
        <x:v/>
      </x:c>
      <x:c r="AK28" s="356" t="str">
        <x:f t="shared" ref="AK28:AK30" si="110">IF(OR(AJ28="",AJ28="-",AJ28="세입번호입력"),"",COUNTIF($AJ$7:$AJ$1013,AJ28))</x:f>
        <x:v/>
      </x:c>
      <x:c r="AL28" s="356" t="str">
        <x:f t="shared" ref="AL28:AL30" si="111">IF($AJ28="","",IF($Z28="도비","OK",IF(AND($Z28="국도비",$AJ28="세입없음"),"OK",IF(AND($Z28="국도비",$AJ28="세입번호입력"),"@@","OK"))))</x:f>
        <x:v/>
      </x:c>
      <x:c r="AM28" s="356" t="str">
        <x:f t="shared" ref="AM28:AM30" si="112">IF($K28="","",IF(COUNT(FIND("국비/",$K28)),"국비",IF(COUNT(FIND("균특/",$K28)),"균특",IF(COUNT(FIND("기금/",$K28)),"기금",IF(COUNT(FIND("교부세/",$K28)),"특교",IF(COUNT(FIND("소방안전/",$K28)),"소교",IF(COUNT(FIND("소멸대응/",$K28)),"소멸","도비")))))))</x:f>
        <x:v/>
      </x:c>
      <x:c r="AN28" s="356" t="str">
        <x:f>IF($AM28="","",IF($AM28="도비","OK",IF($AJ28="세입없음","OK",IF($AJ28="세입번호입력","@@",IF(VLOOKUP($AJ28,'5. 기입'!$AH$6:$AI$1012,2,FALSE)='5. 기출'!$AM28,"OK","@@")))))</x:f>
        <x:v/>
      </x:c>
    </x:row>
    <x:row r="29" spans="1:40" s="20" customFormat="1" ht="80.099999999999994" customHeight="1">
      <x:c r="A29" s="155" t="str">
        <x:f>IF(D29="","",COUNTA($C$7:C29)-COUNTBLANK($C$7:C29)+6)</x:f>
        <x:v/>
      </x:c>
      <x:c r="B29" s="156" t="str">
        <x: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x:f>
        <x:v/>
      </x:c>
      <x:c r="C29" s="156" t="str">
        <x:f>IF(D29="","",IF(OR(D29="교육지원과",D29="총무과",D29="인사과"),"직접입력",VLOOKUP(D29,구분표!$A$3:$C$258,3,)))</x:f>
        <x:v/>
      </x:c>
      <x:c r="D29" s="226"/>
      <x:c r="E29" s="213"/>
      <x:c r="F29" s="388" t="str">
        <x:f t="shared" ref="F29:G30" si="113">IF($E29="","",IF($E29="2추","직접입력","-"))</x:f>
        <x:v/>
      </x:c>
      <x:c r="G29" s="388" t="str">
        <x:f t="shared" si="113"/>
        <x:v/>
      </x:c>
      <x:c r="H29" s="213"/>
      <x:c r="I29" s="156" t="str">
        <x:f>IF(H29="","",VLOOKUP($H29,구분표!$K$3:$M$147,2,FALSE))</x:f>
        <x:v/>
      </x:c>
      <x:c r="J29" s="156" t="str">
        <x:f>IF(I29="","",VLOOKUP($H29,구분표!$K$3:$M$147,3,FALSE))</x:f>
        <x:v/>
      </x:c>
      <x:c r="K29" s="233"/>
      <x:c r="L29" s="233"/>
      <x:c r="M29" s="459" t="str">
        <x:f t="shared" ref="M29:M30" si="114">IF($E29="","",IF(OR($E29="2추",$E29="1추",$E29="본예산"),"금액입력","-"))</x:f>
        <x:v/>
      </x:c>
      <x:c r="N29" s="459" t="str">
        <x:f t="shared" ref="N29:N30" si="115">IF($E29="","",IF($E29="2추","금액입력","-"))</x:f>
        <x:v/>
      </x:c>
      <x:c r="O29" s="461" t="str">
        <x:f t="shared" si="100"/>
        <x:v/>
      </x:c>
      <x:c r="P29" s="460"/>
      <x:c r="Q29" s="461">
        <x:f t="shared" si="101"/>
        <x:v>0</x:v>
      </x:c>
      <x:c r="R29" s="462"/>
      <x:c r="S29" s="463">
        <x:f t="shared" si="102"/>
        <x:v>0</x:v>
      </x:c>
      <x:c r="T29" s="162" t="str">
        <x:f t="shared" si="103"/>
        <x:v>X</x:v>
      </x:c>
      <x:c r="U29" s="230"/>
      <x:c r="V29" s="224"/>
      <x:c r="W29" s="217"/>
      <x:c r="X29" s="234"/>
      <x:c r="Y29" s="217"/>
      <x:c r="Z29" s="356" t="str">
        <x:f t="shared" si="104"/>
        <x:v/>
      </x:c>
      <x:c r="AA29" s="61"/>
      <x:c r="AB29" s="486" t="str">
        <x:f t="shared" si="105"/>
        <x:v/>
      </x:c>
      <x:c r="AC29" s="487">
        <x:f t="shared" si="106"/>
        <x:v>0</x:v>
      </x:c>
      <x:c r="AD29" s="356" t="str">
        <x:f t="shared" si="3"/>
        <x:v>OK</x:v>
      </x:c>
      <x:c r="AE29" s="8"/>
      <x:c r="AF29" s="502" t="str">
        <x:f t="shared" si="107"/>
        <x:v/>
      </x:c>
      <x:c r="AG29" s="503">
        <x:f t="shared" si="108"/>
        <x:v>0</x:v>
      </x:c>
      <x:c r="AH29" s="381" t="str">
        <x:f t="shared" si="4"/>
        <x:v>OK</x:v>
      </x:c>
      <x:c r="AI29" s="8"/>
      <x:c r="AJ29" s="221" t="str">
        <x:f t="shared" si="109"/>
        <x:v/>
      </x:c>
      <x:c r="AK29" s="356" t="str">
        <x:f t="shared" si="110"/>
        <x:v/>
      </x:c>
      <x:c r="AL29" s="356" t="str">
        <x:f t="shared" si="111"/>
        <x:v/>
      </x:c>
      <x:c r="AM29" s="356" t="str">
        <x:f t="shared" si="112"/>
        <x:v/>
      </x:c>
      <x:c r="AN29" s="356" t="str">
        <x:f>IF($AM29="","",IF($AM29="도비","OK",IF($AJ29="세입없음","OK",IF($AJ29="세입번호입력","@@",IF(VLOOKUP($AJ29,'5. 기입'!$AH$6:$AI$1012,2,FALSE)='5. 기출'!$AM29,"OK","@@")))))</x:f>
        <x:v/>
      </x:c>
    </x:row>
    <x:row r="30" spans="1:40" s="20" customFormat="1" ht="80.099999999999994" customHeight="1">
      <x:c r="A30" s="155" t="str">
        <x:f>IF(D30="","",COUNTA($C$7:C30)-COUNTBLANK($C$7:C30)+6)</x:f>
        <x:v/>
      </x:c>
      <x:c r="B30" s="156" t="str">
        <x: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x:f>
        <x:v/>
      </x:c>
      <x:c r="C30" s="156" t="str">
        <x:f>IF(D30="","",IF(OR(D30="교육지원과",D30="총무과",D30="인사과"),"직접입력",VLOOKUP(D30,구분표!$A$3:$C$258,3,)))</x:f>
        <x:v/>
      </x:c>
      <x:c r="D30" s="226"/>
      <x:c r="E30" s="213"/>
      <x:c r="F30" s="388" t="str">
        <x:f t="shared" si="113"/>
        <x:v/>
      </x:c>
      <x:c r="G30" s="388" t="str">
        <x:f t="shared" si="113"/>
        <x:v/>
      </x:c>
      <x:c r="H30" s="213"/>
      <x:c r="I30" s="156" t="str">
        <x:f>IF(H30="","",VLOOKUP($H30,구분표!$K$3:$M$147,2,FALSE))</x:f>
        <x:v/>
      </x:c>
      <x:c r="J30" s="156" t="str">
        <x:f>IF(I30="","",VLOOKUP($H30,구분표!$K$3:$M$147,3,FALSE))</x:f>
        <x:v/>
      </x:c>
      <x:c r="K30" s="233"/>
      <x:c r="L30" s="233"/>
      <x:c r="M30" s="459" t="str">
        <x:f t="shared" si="114"/>
        <x:v/>
      </x:c>
      <x:c r="N30" s="459" t="str">
        <x:f t="shared" si="115"/>
        <x:v/>
      </x:c>
      <x:c r="O30" s="461" t="str">
        <x:f t="shared" si="100"/>
        <x:v/>
      </x:c>
      <x:c r="P30" s="460"/>
      <x:c r="Q30" s="461">
        <x:f t="shared" si="101"/>
        <x:v>0</x:v>
      </x:c>
      <x:c r="R30" s="462"/>
      <x:c r="S30" s="463">
        <x:f t="shared" si="102"/>
        <x:v>0</x:v>
      </x:c>
      <x:c r="T30" s="162" t="str">
        <x:f t="shared" si="103"/>
        <x:v>X</x:v>
      </x:c>
      <x:c r="U30" s="230"/>
      <x:c r="V30" s="224"/>
      <x:c r="W30" s="217"/>
      <x:c r="X30" s="234"/>
      <x:c r="Y30" s="217"/>
      <x:c r="Z30" s="356" t="str">
        <x:f t="shared" si="104"/>
        <x:v/>
      </x:c>
      <x:c r="AA30" s="61"/>
      <x:c r="AB30" s="486" t="str">
        <x:f t="shared" si="105"/>
        <x:v/>
      </x:c>
      <x:c r="AC30" s="487">
        <x:f t="shared" si="106"/>
        <x:v>0</x:v>
      </x:c>
      <x:c r="AD30" s="356" t="str">
        <x:f t="shared" si="3"/>
        <x:v>OK</x:v>
      </x:c>
      <x:c r="AE30" s="8"/>
      <x:c r="AF30" s="502" t="str">
        <x:f t="shared" si="107"/>
        <x:v/>
      </x:c>
      <x:c r="AG30" s="503">
        <x:f t="shared" si="108"/>
        <x:v>0</x:v>
      </x:c>
      <x:c r="AH30" s="381" t="str">
        <x:f t="shared" si="4"/>
        <x:v>OK</x:v>
      </x:c>
      <x:c r="AI30" s="8"/>
      <x:c r="AJ30" s="221" t="str">
        <x:f t="shared" si="109"/>
        <x:v/>
      </x:c>
      <x:c r="AK30" s="356" t="str">
        <x:f t="shared" si="110"/>
        <x:v/>
      </x:c>
      <x:c r="AL30" s="356" t="str">
        <x:f t="shared" si="111"/>
        <x:v/>
      </x:c>
      <x:c r="AM30" s="356" t="str">
        <x:f t="shared" si="112"/>
        <x:v/>
      </x:c>
      <x:c r="AN30" s="356" t="str">
        <x:f>IF($AM30="","",IF($AM30="도비","OK",IF($AJ30="세입없음","OK",IF($AJ30="세입번호입력","@@",IF(VLOOKUP($AJ30,'5. 기입'!$AH$6:$AI$1012,2,FALSE)='5. 기출'!$AM30,"OK","@@")))))</x:f>
        <x:v/>
      </x:c>
    </x:row>
    <x:row r="31" spans="1:40" ht="60" customHeight="1">
      <x:c r="A31" s="167"/>
      <x:c r="B31" s="888" t="s">
        <x:v>1788</x:v>
      </x:c>
      <x:c r="C31" s="888"/>
      <x:c r="D31" s="888"/>
      <x:c r="E31" s="888"/>
      <x:c r="F31" s="888"/>
      <x:c r="G31" s="888"/>
      <x:c r="H31" s="888"/>
      <x:c r="I31" s="888"/>
      <x:c r="J31" s="888"/>
      <x:c r="K31" s="83"/>
      <x:c r="L31" s="363" t="str">
        <x:f>SUBTOTAL(3,L32:L34)&amp;"건"</x:f>
        <x:v>0건</x:v>
      </x:c>
      <x:c r="M31" s="477">
        <x:f t="shared" ref="M31:S31" si="116">SUBTOTAL(9,M32:M34)</x:f>
        <x:v>0</x:v>
      </x:c>
      <x:c r="N31" s="477">
        <x:f t="shared" si="116"/>
        <x:v>0</x:v>
      </x:c>
      <x:c r="O31" s="477">
        <x:f t="shared" si="116"/>
        <x:v>0</x:v>
      </x:c>
      <x:c r="P31" s="477">
        <x:f t="shared" si="116"/>
        <x:v>0</x:v>
      </x:c>
      <x:c r="Q31" s="477">
        <x:f t="shared" si="116"/>
        <x:v>0</x:v>
      </x:c>
      <x:c r="R31" s="477">
        <x:f t="shared" si="116"/>
        <x:v>0</x:v>
      </x:c>
      <x:c r="S31" s="477">
        <x:f t="shared" si="116"/>
        <x:v>0</x:v>
      </x:c>
      <x:c r="T31" s="82"/>
      <x:c r="U31" s="84"/>
      <x:c r="V31" s="84"/>
      <x:c r="W31" s="85"/>
      <x:c r="X31" s="178"/>
      <x:c r="Y31" s="86"/>
      <x:c r="Z31" s="82"/>
      <x:c r="AA31" s="44"/>
      <x:c r="AB31" s="477">
        <x:f t="shared" ref="AB31:AC31" si="117">SUBTOTAL(9,AB32:AB34)</x:f>
        <x:v>0</x:v>
      </x:c>
      <x:c r="AC31" s="477">
        <x:f t="shared" si="117"/>
        <x:v>0</x:v>
      </x:c>
      <x:c r="AD31" s="556" t="str">
        <x:f>IF(COUNTIF(AD32:AD34,"@@")&gt;0,"@@","OK")</x:f>
        <x:v>OK</x:v>
      </x:c>
      <x:c r="AE31" s="53"/>
      <x:c r="AF31" s="477">
        <x:f t="shared" ref="AF31:AG31" si="118">SUBTOTAL(9,AF32:AF34)</x:f>
        <x:v>0</x:v>
      </x:c>
      <x:c r="AG31" s="477">
        <x:f t="shared" si="118"/>
        <x:v>0</x:v>
      </x:c>
      <x:c r="AH31" s="556" t="str">
        <x:f>IF(COUNTIF(AH32:AH34,"@@")&gt;0,"@@","OK")</x:f>
        <x:v>OK</x:v>
      </x:c>
      <x:c r="AI31" s="44"/>
      <x:c r="AJ31" s="81"/>
      <x:c r="AK31" s="81"/>
      <x:c r="AL31" s="556" t="str">
        <x:f>IF(COUNTIF(AL32:AL34,"@@")&gt;0,"@@","OK")</x:f>
        <x:v>OK</x:v>
      </x:c>
      <x:c r="AM31" s="81"/>
      <x:c r="AN31" s="556" t="str">
        <x:f>IF(COUNTIF(AN32:AN34,"@@")&gt;0,"@@","OK")</x:f>
        <x:v>OK</x:v>
      </x:c>
    </x:row>
    <x:row r="32" spans="1:40" s="20" customFormat="1" ht="80.099999999999994" customHeight="1">
      <x:c r="A32" s="155" t="str">
        <x:f>IF(D32="","",COUNTA($C$7:C32)-COUNTBLANK($C$7:C32)+7)</x:f>
        <x:v/>
      </x:c>
      <x:c r="B32" s="156" t="str">
        <x: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x:f>
        <x:v/>
      </x:c>
      <x:c r="C32" s="156" t="str">
        <x:f>IF(D32="","",IF(OR(D32="교육지원과",D32="총무과",D32="인사과"),"직접입력",VLOOKUP(D32,구분표!$A$3:$C$258,3,)))</x:f>
        <x:v/>
      </x:c>
      <x:c r="D32" s="226"/>
      <x:c r="E32" s="213"/>
      <x:c r="F32" s="388" t="str">
        <x:f>IF($E32="","",IF($E32="2추","직접입력","-"))</x:f>
        <x:v/>
      </x:c>
      <x:c r="G32" s="388" t="str">
        <x:f>IF($E32="","",IF($E32="2추","직접입력","-"))</x:f>
        <x:v/>
      </x:c>
      <x:c r="H32" s="213"/>
      <x:c r="I32" s="156" t="str">
        <x:f>IF(H32="","",VLOOKUP($H32,구분표!$K$3:$M$147,2,FALSE))</x:f>
        <x:v/>
      </x:c>
      <x:c r="J32" s="156" t="str">
        <x:f>IF(I32="","",VLOOKUP($H32,구분표!$K$3:$M$147,3,FALSE))</x:f>
        <x:v/>
      </x:c>
      <x:c r="K32" s="233"/>
      <x:c r="L32" s="233"/>
      <x:c r="M32" s="459" t="str">
        <x:f>IF($E32="","",IF(OR($E32="2추",$E32="1추",$E32="본예산"),"금액입력","-"))</x:f>
        <x:v/>
      </x:c>
      <x:c r="N32" s="459" t="str">
        <x:f>IF($E32="","",IF($E32="2추","금액입력","-"))</x:f>
        <x:v/>
      </x:c>
      <x:c r="O32" s="461" t="str">
        <x:f t="shared" ref="O32:O34" si="119">IF($E32="","",SUM(M32:N32))</x:f>
        <x:v/>
      </x:c>
      <x:c r="P32" s="460"/>
      <x:c r="Q32" s="461">
        <x:f t="shared" ref="Q32:Q34" si="120">SUM(O32:P32)</x:f>
        <x:v>0</x:v>
      </x:c>
      <x:c r="R32" s="462"/>
      <x:c r="S32" s="463">
        <x:f t="shared" ref="S32:S34" si="121">SUM(O32,R32)</x:f>
        <x:v>0</x:v>
      </x:c>
      <x:c r="T32" s="162" t="str">
        <x:f t="shared" ref="T32:T34" si="122">IF(AND((Q32=0),(S32&gt;0)),"O",IF(AND((P32&lt;0),(Q32-S32&lt;0)),"O","X"))</x:f>
        <x:v>X</x:v>
      </x:c>
      <x:c r="U32" s="230"/>
      <x:c r="V32" s="224"/>
      <x:c r="W32" s="217"/>
      <x:c r="X32" s="234"/>
      <x:c r="Y32" s="217"/>
      <x:c r="Z32" s="356" t="str">
        <x:f t="shared" ref="Z32:Z34" si="123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x:f>
        <x:v/>
      </x:c>
      <x:c r="AA32" s="61"/>
      <x:c r="AB32" s="486" t="str">
        <x:f t="shared" ref="AB32:AB34" si="124">IF($Z32="","",IF($Z32="국도비","금액입력",0))</x:f>
        <x:v/>
      </x:c>
      <x:c r="AC32" s="487">
        <x:f t="shared" ref="AC32:AC34" si="125">IFERROR(P32-AB32,0)</x:f>
        <x:v>0</x:v>
      </x:c>
      <x:c r="AD32" s="356" t="str">
        <x:f t="shared" si="3"/>
        <x:v>OK</x:v>
      </x:c>
      <x:c r="AE32" s="8"/>
      <x:c r="AF32" s="502" t="str">
        <x:f t="shared" ref="AF32:AF34" si="126">IF($Z32="","",IF($Z32="국도비","금액입력",0))</x:f>
        <x:v/>
      </x:c>
      <x:c r="AG32" s="503">
        <x:f t="shared" ref="AG32:AG34" si="127">IFERROR(R32-AF32,0)</x:f>
        <x:v>0</x:v>
      </x:c>
      <x:c r="AH32" s="381" t="str">
        <x:f t="shared" si="4"/>
        <x:v>OK</x:v>
      </x:c>
      <x:c r="AI32" s="8"/>
      <x:c r="AJ32" s="221" t="str">
        <x:f t="shared" ref="AJ32:AJ34" si="128">IF($Z32="","",IF($Z32="도비","-","세입번호입력"))</x:f>
        <x:v/>
      </x:c>
      <x:c r="AK32" s="356" t="str">
        <x:f t="shared" ref="AK32:AK34" si="129">IF(OR(AJ32="",AJ32="-",AJ32="세입번호입력"),"",COUNTIF($AJ$7:$AJ$1013,AJ32))</x:f>
        <x:v/>
      </x:c>
      <x:c r="AL32" s="356" t="str">
        <x:f t="shared" ref="AL32:AL34" si="130">IF($AJ32="","",IF($Z32="도비","OK",IF(AND($Z32="국도비",$AJ32="세입없음"),"OK",IF(AND($Z32="국도비",$AJ32="세입번호입력"),"@@","OK"))))</x:f>
        <x:v/>
      </x:c>
      <x:c r="AM32" s="356" t="str">
        <x:f t="shared" ref="AM32:AM34" si="131">IF($K32="","",IF(COUNT(FIND("국비/",$K32)),"국비",IF(COUNT(FIND("균특/",$K32)),"균특",IF(COUNT(FIND("기금/",$K32)),"기금",IF(COUNT(FIND("교부세/",$K32)),"특교",IF(COUNT(FIND("소방안전/",$K32)),"소교",IF(COUNT(FIND("소멸대응/",$K32)),"소멸","도비")))))))</x:f>
        <x:v/>
      </x:c>
      <x:c r="AN32" s="356" t="str">
        <x:f>IF($AM32="","",IF($AM32="도비","OK",IF($AJ32="세입없음","OK",IF($AJ32="세입번호입력","@@",IF(VLOOKUP($AJ32,'5. 기입'!$AH$6:$AI$1012,2,FALSE)='5. 기출'!$AM32,"OK","@@")))))</x:f>
        <x:v/>
      </x:c>
    </x:row>
    <x:row r="33" spans="1:40" s="20" customFormat="1" ht="80.099999999999994" customHeight="1">
      <x:c r="A33" s="155" t="str">
        <x:f>IF(D33="","",COUNTA($C$7:C33)-COUNTBLANK($C$7:C33)+7)</x:f>
        <x:v/>
      </x:c>
      <x:c r="B33" s="156" t="str">
        <x: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x:f>
        <x:v/>
      </x:c>
      <x:c r="C33" s="156" t="str">
        <x:f>IF(D33="","",IF(OR(D33="교육지원과",D33="총무과",D33="인사과"),"직접입력",VLOOKUP(D33,구분표!$A$3:$C$258,3,)))</x:f>
        <x:v/>
      </x:c>
      <x:c r="D33" s="226"/>
      <x:c r="E33" s="213"/>
      <x:c r="F33" s="388" t="str">
        <x:f t="shared" ref="F33:G34" si="132">IF($E33="","",IF($E33="2추","직접입력","-"))</x:f>
        <x:v/>
      </x:c>
      <x:c r="G33" s="388" t="str">
        <x:f t="shared" si="132"/>
        <x:v/>
      </x:c>
      <x:c r="H33" s="213"/>
      <x:c r="I33" s="156" t="str">
        <x:f>IF(H33="","",VLOOKUP($H33,구분표!$K$3:$M$147,2,FALSE))</x:f>
        <x:v/>
      </x:c>
      <x:c r="J33" s="156" t="str">
        <x:f>IF(I33="","",VLOOKUP($H33,구분표!$K$3:$M$147,3,FALSE))</x:f>
        <x:v/>
      </x:c>
      <x:c r="K33" s="233"/>
      <x:c r="L33" s="233"/>
      <x:c r="M33" s="459" t="str">
        <x:f t="shared" ref="M33:M34" si="133">IF($E33="","",IF(OR($E33="2추",$E33="1추",$E33="본예산"),"금액입력","-"))</x:f>
        <x:v/>
      </x:c>
      <x:c r="N33" s="459" t="str">
        <x:f t="shared" ref="N33:N34" si="134">IF($E33="","",IF($E33="2추","금액입력","-"))</x:f>
        <x:v/>
      </x:c>
      <x:c r="O33" s="461" t="str">
        <x:f t="shared" si="119"/>
        <x:v/>
      </x:c>
      <x:c r="P33" s="460"/>
      <x:c r="Q33" s="461">
        <x:f t="shared" si="120"/>
        <x:v>0</x:v>
      </x:c>
      <x:c r="R33" s="462"/>
      <x:c r="S33" s="463">
        <x:f t="shared" si="121"/>
        <x:v>0</x:v>
      </x:c>
      <x:c r="T33" s="162" t="str">
        <x:f t="shared" si="122"/>
        <x:v>X</x:v>
      </x:c>
      <x:c r="U33" s="230"/>
      <x:c r="V33" s="224"/>
      <x:c r="W33" s="217"/>
      <x:c r="X33" s="234"/>
      <x:c r="Y33" s="217"/>
      <x:c r="Z33" s="356" t="str">
        <x:f t="shared" si="123"/>
        <x:v/>
      </x:c>
      <x:c r="AA33" s="61"/>
      <x:c r="AB33" s="486" t="str">
        <x:f t="shared" si="124"/>
        <x:v/>
      </x:c>
      <x:c r="AC33" s="487">
        <x:f t="shared" si="125"/>
        <x:v>0</x:v>
      </x:c>
      <x:c r="AD33" s="356" t="str">
        <x:f t="shared" si="3"/>
        <x:v>OK</x:v>
      </x:c>
      <x:c r="AE33" s="8"/>
      <x:c r="AF33" s="502" t="str">
        <x:f t="shared" si="126"/>
        <x:v/>
      </x:c>
      <x:c r="AG33" s="503">
        <x:f t="shared" si="127"/>
        <x:v>0</x:v>
      </x:c>
      <x:c r="AH33" s="381" t="str">
        <x:f t="shared" si="4"/>
        <x:v>OK</x:v>
      </x:c>
      <x:c r="AI33" s="8"/>
      <x:c r="AJ33" s="221" t="str">
        <x:f t="shared" si="128"/>
        <x:v/>
      </x:c>
      <x:c r="AK33" s="356" t="str">
        <x:f t="shared" si="129"/>
        <x:v/>
      </x:c>
      <x:c r="AL33" s="356" t="str">
        <x:f t="shared" si="130"/>
        <x:v/>
      </x:c>
      <x:c r="AM33" s="356" t="str">
        <x:f t="shared" si="131"/>
        <x:v/>
      </x:c>
      <x:c r="AN33" s="356" t="str">
        <x:f>IF($AM33="","",IF($AM33="도비","OK",IF($AJ33="세입없음","OK",IF($AJ33="세입번호입력","@@",IF(VLOOKUP($AJ33,'5. 기입'!$AH$6:$AI$1012,2,FALSE)='5. 기출'!$AM33,"OK","@@")))))</x:f>
        <x:v/>
      </x:c>
    </x:row>
    <x:row r="34" spans="1:40" s="20" customFormat="1" ht="80.099999999999994" customHeight="1">
      <x:c r="A34" s="155" t="str">
        <x:f>IF(D34="","",COUNTA($C$7:C34)-COUNTBLANK($C$7:C34)+7)</x:f>
        <x:v/>
      </x:c>
      <x:c r="B34" s="156" t="str">
        <x: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x:f>
        <x:v/>
      </x:c>
      <x:c r="C34" s="156" t="str">
        <x:f>IF(D34="","",IF(OR(D34="교육지원과",D34="총무과",D34="인사과"),"직접입력",VLOOKUP(D34,구분표!$A$3:$C$258,3,)))</x:f>
        <x:v/>
      </x:c>
      <x:c r="D34" s="226"/>
      <x:c r="E34" s="213"/>
      <x:c r="F34" s="388" t="str">
        <x:f t="shared" si="132"/>
        <x:v/>
      </x:c>
      <x:c r="G34" s="388" t="str">
        <x:f t="shared" si="132"/>
        <x:v/>
      </x:c>
      <x:c r="H34" s="213"/>
      <x:c r="I34" s="156" t="str">
        <x:f>IF(H34="","",VLOOKUP($H34,구분표!$K$3:$M$147,2,FALSE))</x:f>
        <x:v/>
      </x:c>
      <x:c r="J34" s="156" t="str">
        <x:f>IF(I34="","",VLOOKUP($H34,구분표!$K$3:$M$147,3,FALSE))</x:f>
        <x:v/>
      </x:c>
      <x:c r="K34" s="233"/>
      <x:c r="L34" s="233"/>
      <x:c r="M34" s="459" t="str">
        <x:f t="shared" si="133"/>
        <x:v/>
      </x:c>
      <x:c r="N34" s="459" t="str">
        <x:f t="shared" si="134"/>
        <x:v/>
      </x:c>
      <x:c r="O34" s="461" t="str">
        <x:f t="shared" si="119"/>
        <x:v/>
      </x:c>
      <x:c r="P34" s="460"/>
      <x:c r="Q34" s="461">
        <x:f t="shared" si="120"/>
        <x:v>0</x:v>
      </x:c>
      <x:c r="R34" s="462"/>
      <x:c r="S34" s="463">
        <x:f t="shared" si="121"/>
        <x:v>0</x:v>
      </x:c>
      <x:c r="T34" s="162" t="str">
        <x:f t="shared" si="122"/>
        <x:v>X</x:v>
      </x:c>
      <x:c r="U34" s="230"/>
      <x:c r="V34" s="224"/>
      <x:c r="W34" s="217"/>
      <x:c r="X34" s="234"/>
      <x:c r="Y34" s="217"/>
      <x:c r="Z34" s="356" t="str">
        <x:f t="shared" si="123"/>
        <x:v/>
      </x:c>
      <x:c r="AA34" s="61"/>
      <x:c r="AB34" s="486" t="str">
        <x:f t="shared" si="124"/>
        <x:v/>
      </x:c>
      <x:c r="AC34" s="487">
        <x:f t="shared" si="125"/>
        <x:v>0</x:v>
      </x:c>
      <x:c r="AD34" s="356" t="str">
        <x:f t="shared" si="3"/>
        <x:v>OK</x:v>
      </x:c>
      <x:c r="AE34" s="8"/>
      <x:c r="AF34" s="502" t="str">
        <x:f t="shared" si="126"/>
        <x:v/>
      </x:c>
      <x:c r="AG34" s="503">
        <x:f t="shared" si="127"/>
        <x:v>0</x:v>
      </x:c>
      <x:c r="AH34" s="381" t="str">
        <x:f t="shared" si="4"/>
        <x:v>OK</x:v>
      </x:c>
      <x:c r="AI34" s="8"/>
      <x:c r="AJ34" s="221" t="str">
        <x:f t="shared" si="128"/>
        <x:v/>
      </x:c>
      <x:c r="AK34" s="356" t="str">
        <x:f t="shared" si="129"/>
        <x:v/>
      </x:c>
      <x:c r="AL34" s="356" t="str">
        <x:f t="shared" si="130"/>
        <x:v/>
      </x:c>
      <x:c r="AM34" s="356" t="str">
        <x:f t="shared" si="131"/>
        <x:v/>
      </x:c>
      <x:c r="AN34" s="356" t="str">
        <x:f>IF($AM34="","",IF($AM34="도비","OK",IF($AJ34="세입없음","OK",IF($AJ34="세입번호입력","@@",IF(VLOOKUP($AJ34,'5. 기입'!$AH$6:$AI$1012,2,FALSE)='5. 기출'!$AM34,"OK","@@")))))</x:f>
        <x:v/>
      </x:c>
    </x:row>
    <x:row r="35" spans="1:40" ht="60" customHeight="1">
      <x:c r="A35" s="167"/>
      <x:c r="B35" s="888" t="s">
        <x:v>872</x:v>
      </x:c>
      <x:c r="C35" s="888"/>
      <x:c r="D35" s="888"/>
      <x:c r="E35" s="888"/>
      <x:c r="F35" s="888"/>
      <x:c r="G35" s="888"/>
      <x:c r="H35" s="888"/>
      <x:c r="I35" s="888"/>
      <x:c r="J35" s="888"/>
      <x:c r="K35" s="83"/>
      <x:c r="L35" s="363" t="str">
        <x:f>SUBTOTAL(3,L36:L38)&amp;"건"</x:f>
        <x:v>0건</x:v>
      </x:c>
      <x:c r="M35" s="477">
        <x:f t="shared" ref="M35:S35" si="135">SUBTOTAL(9,M36:M38)</x:f>
        <x:v>0</x:v>
      </x:c>
      <x:c r="N35" s="477">
        <x:f t="shared" si="135"/>
        <x:v>0</x:v>
      </x:c>
      <x:c r="O35" s="477">
        <x:f t="shared" si="135"/>
        <x:v>0</x:v>
      </x:c>
      <x:c r="P35" s="477">
        <x:f t="shared" si="135"/>
        <x:v>0</x:v>
      </x:c>
      <x:c r="Q35" s="477">
        <x:f t="shared" si="135"/>
        <x:v>0</x:v>
      </x:c>
      <x:c r="R35" s="477">
        <x:f t="shared" si="135"/>
        <x:v>0</x:v>
      </x:c>
      <x:c r="S35" s="477">
        <x:f t="shared" si="135"/>
        <x:v>0</x:v>
      </x:c>
      <x:c r="T35" s="82"/>
      <x:c r="U35" s="84"/>
      <x:c r="V35" s="84"/>
      <x:c r="W35" s="85"/>
      <x:c r="X35" s="178"/>
      <x:c r="Y35" s="86"/>
      <x:c r="Z35" s="82"/>
      <x:c r="AA35" s="44"/>
      <x:c r="AB35" s="477">
        <x:f t="shared" ref="AB35:AC35" si="136">SUBTOTAL(9,AB36:AB38)</x:f>
        <x:v>0</x:v>
      </x:c>
      <x:c r="AC35" s="477">
        <x:f t="shared" si="136"/>
        <x:v>0</x:v>
      </x:c>
      <x:c r="AD35" s="556" t="str">
        <x:f>IF(COUNTIF(AD36:AD38,"@@")&gt;0,"@@","OK")</x:f>
        <x:v>OK</x:v>
      </x:c>
      <x:c r="AE35" s="53"/>
      <x:c r="AF35" s="477">
        <x:f t="shared" ref="AF35:AG35" si="137">SUBTOTAL(9,AF36:AF38)</x:f>
        <x:v>0</x:v>
      </x:c>
      <x:c r="AG35" s="477">
        <x:f t="shared" si="137"/>
        <x:v>0</x:v>
      </x:c>
      <x:c r="AH35" s="556" t="str">
        <x:f>IF(COUNTIF(AH36:AH38,"@@")&gt;0,"@@","OK")</x:f>
        <x:v>OK</x:v>
      </x:c>
      <x:c r="AI35" s="44"/>
      <x:c r="AJ35" s="81"/>
      <x:c r="AK35" s="81"/>
      <x:c r="AL35" s="556" t="str">
        <x:f>IF(COUNTIF(AL36:AL38,"@@")&gt;0,"@@","OK")</x:f>
        <x:v>OK</x:v>
      </x:c>
      <x:c r="AM35" s="81"/>
      <x:c r="AN35" s="556" t="str">
        <x:f>IF(COUNTIF(AN36:AN38,"@@")&gt;0,"@@","OK")</x:f>
        <x:v>OK</x:v>
      </x:c>
    </x:row>
    <x:row r="36" spans="1:40" s="20" customFormat="1" ht="80.099999999999994" customHeight="1">
      <x:c r="A36" s="155" t="str">
        <x:f>IF(D36="","",COUNTA($C$7:C36)-COUNTBLANK($C$7:C36)+8)</x:f>
        <x:v/>
      </x:c>
      <x:c r="B36" s="156" t="str">
        <x: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x:f>
        <x:v/>
      </x:c>
      <x:c r="C36" s="156" t="str">
        <x:f>IF(D36="","",IF(OR(D36="교육지원과",D36="총무과",D36="인사과"),"직접입력",VLOOKUP(D36,구분표!$A$3:$C$258,3,)))</x:f>
        <x:v/>
      </x:c>
      <x:c r="D36" s="226"/>
      <x:c r="E36" s="213"/>
      <x:c r="F36" s="388" t="str">
        <x:f>IF($E36="","",IF($E36="2추","직접입력","-"))</x:f>
        <x:v/>
      </x:c>
      <x:c r="G36" s="388" t="str">
        <x:f>IF($E36="","",IF($E36="2추","직접입력","-"))</x:f>
        <x:v/>
      </x:c>
      <x:c r="H36" s="213"/>
      <x:c r="I36" s="156" t="str">
        <x:f>IF(H36="","",VLOOKUP($H36,구분표!$K$3:$M$147,2,FALSE))</x:f>
        <x:v/>
      </x:c>
      <x:c r="J36" s="156" t="str">
        <x:f>IF(I36="","",VLOOKUP($H36,구분표!$K$3:$M$147,3,FALSE))</x:f>
        <x:v/>
      </x:c>
      <x:c r="K36" s="233"/>
      <x:c r="L36" s="233"/>
      <x:c r="M36" s="459" t="str">
        <x:f>IF($E36="","",IF(OR($E36="2추",$E36="1추",$E36="본예산"),"금액입력","-"))</x:f>
        <x:v/>
      </x:c>
      <x:c r="N36" s="459" t="str">
        <x:f>IF($E36="","",IF($E36="2추","금액입력","-"))</x:f>
        <x:v/>
      </x:c>
      <x:c r="O36" s="461" t="str">
        <x:f t="shared" ref="O36:O38" si="138">IF($E36="","",SUM(M36:N36))</x:f>
        <x:v/>
      </x:c>
      <x:c r="P36" s="460"/>
      <x:c r="Q36" s="461">
        <x:f t="shared" ref="Q36:Q38" si="139">SUM(O36:P36)</x:f>
        <x:v>0</x:v>
      </x:c>
      <x:c r="R36" s="462"/>
      <x:c r="S36" s="463">
        <x:f t="shared" ref="S36:S38" si="140">SUM(O36,R36)</x:f>
        <x:v>0</x:v>
      </x:c>
      <x:c r="T36" s="162" t="str">
        <x:f t="shared" ref="T36:T38" si="141">IF(AND((Q36=0),(S36&gt;0)),"O",IF(AND((P36&lt;0),(Q36-S36&lt;0)),"O","X"))</x:f>
        <x:v>X</x:v>
      </x:c>
      <x:c r="U36" s="230"/>
      <x:c r="V36" s="224"/>
      <x:c r="W36" s="217"/>
      <x:c r="X36" s="234"/>
      <x:c r="Y36" s="217"/>
      <x:c r="Z36" s="356" t="str">
        <x:f t="shared" ref="Z36:Z38" si="142">IF($K36="","",IF(COUNT(FIND("국비/",$K36)),"국도비",IF(COUNT(FIND("균특/",$K36)),"국도비",IF(COUNT(FIND("기금/",$K36)),"국도비",IF(COUNT(FIND("교부세/",$K36)),"국도비",IF(COUNT(FIND("소방안전/",$K36)),"국도비",IF(COUNT(FIND("소멸대응/",$K36)),"국도비","도비")))))))</x:f>
        <x:v/>
      </x:c>
      <x:c r="AA36" s="61"/>
      <x:c r="AB36" s="486" t="str">
        <x:f t="shared" ref="AB36:AB38" si="143">IF($Z36="","",IF($Z36="국도비","금액입력",0))</x:f>
        <x:v/>
      </x:c>
      <x:c r="AC36" s="487">
        <x:f t="shared" ref="AC36:AC38" si="144">IFERROR(P36-AB36,0)</x:f>
        <x:v>0</x:v>
      </x:c>
      <x:c r="AD36" s="356" t="str">
        <x:f t="shared" si="3"/>
        <x:v>OK</x:v>
      </x:c>
      <x:c r="AE36" s="8"/>
      <x:c r="AF36" s="502" t="str">
        <x:f t="shared" ref="AF36:AF38" si="145">IF($Z36="","",IF($Z36="국도비","금액입력",0))</x:f>
        <x:v/>
      </x:c>
      <x:c r="AG36" s="503">
        <x:f t="shared" ref="AG36:AG38" si="146">IFERROR(R36-AF36,0)</x:f>
        <x:v>0</x:v>
      </x:c>
      <x:c r="AH36" s="381" t="str">
        <x:f t="shared" si="4"/>
        <x:v>OK</x:v>
      </x:c>
      <x:c r="AI36" s="8"/>
      <x:c r="AJ36" s="221" t="str">
        <x:f t="shared" ref="AJ36:AJ38" si="147">IF($Z36="","",IF($Z36="도비","-","세입번호입력"))</x:f>
        <x:v/>
      </x:c>
      <x:c r="AK36" s="356" t="str">
        <x:f t="shared" ref="AK36:AK38" si="148">IF(OR(AJ36="",AJ36="-",AJ36="세입번호입력"),"",COUNTIF($AJ$7:$AJ$1013,AJ36))</x:f>
        <x:v/>
      </x:c>
      <x:c r="AL36" s="356" t="str">
        <x:f t="shared" ref="AL36:AL38" si="149">IF($AJ36="","",IF($Z36="도비","OK",IF(AND($Z36="국도비",$AJ36="세입없음"),"OK",IF(AND($Z36="국도비",$AJ36="세입번호입력"),"@@","OK"))))</x:f>
        <x:v/>
      </x:c>
      <x:c r="AM36" s="356" t="str">
        <x:f t="shared" ref="AM36:AM38" si="150">IF($K36="","",IF(COUNT(FIND("국비/",$K36)),"국비",IF(COUNT(FIND("균특/",$K36)),"균특",IF(COUNT(FIND("기금/",$K36)),"기금",IF(COUNT(FIND("교부세/",$K36)),"특교",IF(COUNT(FIND("소방안전/",$K36)),"소교",IF(COUNT(FIND("소멸대응/",$K36)),"소멸","도비")))))))</x:f>
        <x:v/>
      </x:c>
      <x:c r="AN36" s="356" t="str">
        <x:f>IF($AM36="","",IF($AM36="도비","OK",IF($AJ36="세입없음","OK",IF($AJ36="세입번호입력","@@",IF(VLOOKUP($AJ36,'5. 기입'!$AH$6:$AI$1012,2,FALSE)='5. 기출'!$AM36,"OK","@@")))))</x:f>
        <x:v/>
      </x:c>
    </x:row>
    <x:row r="37" spans="1:40" s="20" customFormat="1" ht="80.099999999999994" customHeight="1">
      <x:c r="A37" s="155" t="str">
        <x:f>IF(D37="","",COUNTA($C$7:C37)-COUNTBLANK($C$7:C37)+8)</x:f>
        <x:v/>
      </x:c>
      <x:c r="B37" s="156" t="str">
        <x: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x:f>
        <x:v/>
      </x:c>
      <x:c r="C37" s="156" t="str">
        <x:f>IF(D37="","",IF(OR(D37="교육지원과",D37="총무과",D37="인사과"),"직접입력",VLOOKUP(D37,구분표!$A$3:$C$258,3,)))</x:f>
        <x:v/>
      </x:c>
      <x:c r="D37" s="226"/>
      <x:c r="E37" s="213"/>
      <x:c r="F37" s="388" t="str">
        <x:f t="shared" ref="F37:G38" si="151">IF($E37="","",IF($E37="2추","직접입력","-"))</x:f>
        <x:v/>
      </x:c>
      <x:c r="G37" s="388" t="str">
        <x:f t="shared" si="151"/>
        <x:v/>
      </x:c>
      <x:c r="H37" s="213"/>
      <x:c r="I37" s="156" t="str">
        <x:f>IF(H37="","",VLOOKUP($H37,구분표!$K$3:$M$147,2,FALSE))</x:f>
        <x:v/>
      </x:c>
      <x:c r="J37" s="156" t="str">
        <x:f>IF(I37="","",VLOOKUP($H37,구분표!$K$3:$M$147,3,FALSE))</x:f>
        <x:v/>
      </x:c>
      <x:c r="K37" s="233"/>
      <x:c r="L37" s="233"/>
      <x:c r="M37" s="459" t="str">
        <x:f t="shared" ref="M37:M38" si="152">IF($E37="","",IF(OR($E37="2추",$E37="1추",$E37="본예산"),"금액입력","-"))</x:f>
        <x:v/>
      </x:c>
      <x:c r="N37" s="459" t="str">
        <x:f t="shared" ref="N37:N38" si="153">IF($E37="","",IF($E37="2추","금액입력","-"))</x:f>
        <x:v/>
      </x:c>
      <x:c r="O37" s="461" t="str">
        <x:f t="shared" si="138"/>
        <x:v/>
      </x:c>
      <x:c r="P37" s="460"/>
      <x:c r="Q37" s="461">
        <x:f t="shared" si="139"/>
        <x:v>0</x:v>
      </x:c>
      <x:c r="R37" s="462"/>
      <x:c r="S37" s="463">
        <x:f t="shared" si="140"/>
        <x:v>0</x:v>
      </x:c>
      <x:c r="T37" s="162" t="str">
        <x:f t="shared" si="141"/>
        <x:v>X</x:v>
      </x:c>
      <x:c r="U37" s="230"/>
      <x:c r="V37" s="224"/>
      <x:c r="W37" s="217"/>
      <x:c r="X37" s="234"/>
      <x:c r="Y37" s="217"/>
      <x:c r="Z37" s="356" t="str">
        <x:f t="shared" si="142"/>
        <x:v/>
      </x:c>
      <x:c r="AA37" s="61"/>
      <x:c r="AB37" s="486" t="str">
        <x:f t="shared" si="143"/>
        <x:v/>
      </x:c>
      <x:c r="AC37" s="487">
        <x:f t="shared" si="144"/>
        <x:v>0</x:v>
      </x:c>
      <x:c r="AD37" s="356" t="str">
        <x:f t="shared" si="3"/>
        <x:v>OK</x:v>
      </x:c>
      <x:c r="AE37" s="8"/>
      <x:c r="AF37" s="502" t="str">
        <x:f t="shared" si="145"/>
        <x:v/>
      </x:c>
      <x:c r="AG37" s="503">
        <x:f t="shared" si="146"/>
        <x:v>0</x:v>
      </x:c>
      <x:c r="AH37" s="381" t="str">
        <x:f t="shared" si="4"/>
        <x:v>OK</x:v>
      </x:c>
      <x:c r="AI37" s="8"/>
      <x:c r="AJ37" s="221" t="str">
        <x:f t="shared" si="147"/>
        <x:v/>
      </x:c>
      <x:c r="AK37" s="356" t="str">
        <x:f t="shared" si="148"/>
        <x:v/>
      </x:c>
      <x:c r="AL37" s="356" t="str">
        <x:f t="shared" si="149"/>
        <x:v/>
      </x:c>
      <x:c r="AM37" s="356" t="str">
        <x:f t="shared" si="150"/>
        <x:v/>
      </x:c>
      <x:c r="AN37" s="356" t="str">
        <x:f>IF($AM37="","",IF($AM37="도비","OK",IF($AJ37="세입없음","OK",IF($AJ37="세입번호입력","@@",IF(VLOOKUP($AJ37,'5. 기입'!$AH$6:$AI$1012,2,FALSE)='5. 기출'!$AM37,"OK","@@")))))</x:f>
        <x:v/>
      </x:c>
    </x:row>
    <x:row r="38" spans="1:40" s="20" customFormat="1" ht="80.099999999999994" customHeight="1">
      <x:c r="A38" s="155" t="str">
        <x:f>IF(D38="","",COUNTA($C$7:C38)-COUNTBLANK($C$7:C38)+8)</x:f>
        <x:v/>
      </x:c>
      <x:c r="B38" s="156" t="str">
        <x: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x:f>
        <x:v/>
      </x:c>
      <x:c r="C38" s="156" t="str">
        <x:f>IF(D38="","",IF(OR(D38="교육지원과",D38="총무과",D38="인사과"),"직접입력",VLOOKUP(D38,구분표!$A$3:$C$258,3,)))</x:f>
        <x:v/>
      </x:c>
      <x:c r="D38" s="226"/>
      <x:c r="E38" s="213"/>
      <x:c r="F38" s="388" t="str">
        <x:f t="shared" si="151"/>
        <x:v/>
      </x:c>
      <x:c r="G38" s="388" t="str">
        <x:f t="shared" si="151"/>
        <x:v/>
      </x:c>
      <x:c r="H38" s="213"/>
      <x:c r="I38" s="156" t="str">
        <x:f>IF(H38="","",VLOOKUP($H38,구분표!$K$3:$M$147,2,FALSE))</x:f>
        <x:v/>
      </x:c>
      <x:c r="J38" s="156" t="str">
        <x:f>IF(I38="","",VLOOKUP($H38,구분표!$K$3:$M$147,3,FALSE))</x:f>
        <x:v/>
      </x:c>
      <x:c r="K38" s="233"/>
      <x:c r="L38" s="233"/>
      <x:c r="M38" s="459" t="str">
        <x:f t="shared" si="152"/>
        <x:v/>
      </x:c>
      <x:c r="N38" s="459" t="str">
        <x:f t="shared" si="153"/>
        <x:v/>
      </x:c>
      <x:c r="O38" s="461" t="str">
        <x:f t="shared" si="138"/>
        <x:v/>
      </x:c>
      <x:c r="P38" s="460"/>
      <x:c r="Q38" s="461">
        <x:f t="shared" si="139"/>
        <x:v>0</x:v>
      </x:c>
      <x:c r="R38" s="462"/>
      <x:c r="S38" s="463">
        <x:f t="shared" si="140"/>
        <x:v>0</x:v>
      </x:c>
      <x:c r="T38" s="162" t="str">
        <x:f t="shared" si="141"/>
        <x:v>X</x:v>
      </x:c>
      <x:c r="U38" s="230"/>
      <x:c r="V38" s="224"/>
      <x:c r="W38" s="217"/>
      <x:c r="X38" s="234"/>
      <x:c r="Y38" s="217"/>
      <x:c r="Z38" s="356" t="str">
        <x:f t="shared" si="142"/>
        <x:v/>
      </x:c>
      <x:c r="AA38" s="61"/>
      <x:c r="AB38" s="486" t="str">
        <x:f t="shared" si="143"/>
        <x:v/>
      </x:c>
      <x:c r="AC38" s="487">
        <x:f t="shared" si="144"/>
        <x:v>0</x:v>
      </x:c>
      <x:c r="AD38" s="356" t="str">
        <x:f t="shared" si="3"/>
        <x:v>OK</x:v>
      </x:c>
      <x:c r="AE38" s="8"/>
      <x:c r="AF38" s="502" t="str">
        <x:f t="shared" si="145"/>
        <x:v/>
      </x:c>
      <x:c r="AG38" s="503">
        <x:f t="shared" si="146"/>
        <x:v>0</x:v>
      </x:c>
      <x:c r="AH38" s="381" t="str">
        <x:f t="shared" si="4"/>
        <x:v>OK</x:v>
      </x:c>
      <x:c r="AI38" s="8"/>
      <x:c r="AJ38" s="221" t="str">
        <x:f t="shared" si="147"/>
        <x:v/>
      </x:c>
      <x:c r="AK38" s="356" t="str">
        <x:f t="shared" si="148"/>
        <x:v/>
      </x:c>
      <x:c r="AL38" s="356" t="str">
        <x:f t="shared" si="149"/>
        <x:v/>
      </x:c>
      <x:c r="AM38" s="356" t="str">
        <x:f t="shared" si="150"/>
        <x:v/>
      </x:c>
      <x:c r="AN38" s="356" t="str">
        <x:f>IF($AM38="","",IF($AM38="도비","OK",IF($AJ38="세입없음","OK",IF($AJ38="세입번호입력","@@",IF(VLOOKUP($AJ38,'5. 기입'!$AH$6:$AI$1012,2,FALSE)='5. 기출'!$AM38,"OK","@@")))))</x:f>
        <x:v/>
      </x:c>
    </x:row>
    <x:row r="39" spans="1:40" ht="60" customHeight="1">
      <x:c r="A39" s="167"/>
      <x:c r="B39" s="888" t="s">
        <x:v>1500</x:v>
      </x:c>
      <x:c r="C39" s="888"/>
      <x:c r="D39" s="888"/>
      <x:c r="E39" s="888"/>
      <x:c r="F39" s="888"/>
      <x:c r="G39" s="888"/>
      <x:c r="H39" s="888"/>
      <x:c r="I39" s="888"/>
      <x:c r="J39" s="888"/>
      <x:c r="K39" s="83"/>
      <x:c r="L39" s="363" t="str">
        <x:f>SUBTOTAL(3,L40:L42)&amp;"건"</x:f>
        <x:v>0건</x:v>
      </x:c>
      <x:c r="M39" s="477">
        <x:f t="shared" ref="M39:S39" si="154">SUBTOTAL(9,M40:M42)</x:f>
        <x:v>0</x:v>
      </x:c>
      <x:c r="N39" s="477">
        <x:f t="shared" si="154"/>
        <x:v>0</x:v>
      </x:c>
      <x:c r="O39" s="477">
        <x:f t="shared" si="154"/>
        <x:v>0</x:v>
      </x:c>
      <x:c r="P39" s="477">
        <x:f t="shared" si="154"/>
        <x:v>0</x:v>
      </x:c>
      <x:c r="Q39" s="477">
        <x:f t="shared" si="154"/>
        <x:v>0</x:v>
      </x:c>
      <x:c r="R39" s="477">
        <x:f t="shared" si="154"/>
        <x:v>0</x:v>
      </x:c>
      <x:c r="S39" s="477">
        <x:f t="shared" si="154"/>
        <x:v>0</x:v>
      </x:c>
      <x:c r="T39" s="82"/>
      <x:c r="U39" s="84"/>
      <x:c r="V39" s="84"/>
      <x:c r="W39" s="85"/>
      <x:c r="X39" s="178"/>
      <x:c r="Y39" s="86"/>
      <x:c r="Z39" s="82"/>
      <x:c r="AA39" s="44"/>
      <x:c r="AB39" s="477">
        <x:f t="shared" ref="AB39:AC39" si="155">SUBTOTAL(9,AB40:AB42)</x:f>
        <x:v>0</x:v>
      </x:c>
      <x:c r="AC39" s="477">
        <x:f t="shared" si="155"/>
        <x:v>0</x:v>
      </x:c>
      <x:c r="AD39" s="556" t="str">
        <x:f>IF(COUNTIF(AD40:AD42,"@@")&gt;0,"@@","OK")</x:f>
        <x:v>OK</x:v>
      </x:c>
      <x:c r="AE39" s="53"/>
      <x:c r="AF39" s="477">
        <x:f t="shared" ref="AF39:AG39" si="156">SUBTOTAL(9,AF40:AF42)</x:f>
        <x:v>0</x:v>
      </x:c>
      <x:c r="AG39" s="477">
        <x:f t="shared" si="156"/>
        <x:v>0</x:v>
      </x:c>
      <x:c r="AH39" s="556" t="str">
        <x:f>IF(COUNTIF(AH40:AH42,"@@")&gt;0,"@@","OK")</x:f>
        <x:v>OK</x:v>
      </x:c>
      <x:c r="AI39" s="44"/>
      <x:c r="AJ39" s="81"/>
      <x:c r="AK39" s="81"/>
      <x:c r="AL39" s="556" t="str">
        <x:f>IF(COUNTIF(AL40:AL42,"@@")&gt;0,"@@","OK")</x:f>
        <x:v>OK</x:v>
      </x:c>
      <x:c r="AM39" s="81"/>
      <x:c r="AN39" s="556" t="str">
        <x:f>IF(COUNTIF(AN40:AN42,"@@")&gt;0,"@@","OK")</x:f>
        <x:v>OK</x:v>
      </x:c>
    </x:row>
    <x:row r="40" spans="1:40" s="20" customFormat="1" ht="80.099999999999994" customHeight="1">
      <x:c r="A40" s="155" t="str">
        <x:f>IF(D40="","",COUNTA($C$7:C40)-COUNTBLANK($C$7:C40)+9)</x:f>
        <x:v/>
      </x:c>
      <x:c r="B40" s="156" t="str">
        <x: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x:f>
        <x:v/>
      </x:c>
      <x:c r="C40" s="156" t="str">
        <x:f>IF(D40="","",IF(OR(D40="교육지원과",D40="총무과",D40="인사과"),"직접입력",VLOOKUP(D40,구분표!$A$3:$C$258,3,)))</x:f>
        <x:v/>
      </x:c>
      <x:c r="D40" s="226"/>
      <x:c r="E40" s="213"/>
      <x:c r="F40" s="388" t="str">
        <x:f>IF($E40="","",IF($E40="2추","직접입력","-"))</x:f>
        <x:v/>
      </x:c>
      <x:c r="G40" s="388" t="str">
        <x:f>IF($E40="","",IF($E40="2추","직접입력","-"))</x:f>
        <x:v/>
      </x:c>
      <x:c r="H40" s="213"/>
      <x:c r="I40" s="156" t="str">
        <x:f>IF(H40="","",VLOOKUP($H40,구분표!$K$3:$M$147,2,FALSE))</x:f>
        <x:v/>
      </x:c>
      <x:c r="J40" s="156" t="str">
        <x:f>IF(I40="","",VLOOKUP($H40,구분표!$K$3:$M$147,3,FALSE))</x:f>
        <x:v/>
      </x:c>
      <x:c r="K40" s="233"/>
      <x:c r="L40" s="233"/>
      <x:c r="M40" s="459" t="str">
        <x:f>IF($E40="","",IF(OR($E40="2추",$E40="1추",$E40="본예산"),"금액입력","-"))</x:f>
        <x:v/>
      </x:c>
      <x:c r="N40" s="459" t="str">
        <x:f>IF($E40="","",IF($E40="2추","금액입력","-"))</x:f>
        <x:v/>
      </x:c>
      <x:c r="O40" s="461" t="str">
        <x:f t="shared" ref="O40:O42" si="157">IF($E40="","",SUM(M40:N40))</x:f>
        <x:v/>
      </x:c>
      <x:c r="P40" s="460"/>
      <x:c r="Q40" s="461">
        <x:f t="shared" ref="Q40:Q42" si="158">SUM(O40:P40)</x:f>
        <x:v>0</x:v>
      </x:c>
      <x:c r="R40" s="462"/>
      <x:c r="S40" s="463">
        <x:f t="shared" ref="S40:S42" si="159">SUM(O40,R40)</x:f>
        <x:v>0</x:v>
      </x:c>
      <x:c r="T40" s="162" t="str">
        <x:f t="shared" ref="T40:T42" si="160">IF(AND((Q40=0),(S40&gt;0)),"O",IF(AND((P40&lt;0),(Q40-S40&lt;0)),"O","X"))</x:f>
        <x:v>X</x:v>
      </x:c>
      <x:c r="U40" s="230"/>
      <x:c r="V40" s="224"/>
      <x:c r="W40" s="217"/>
      <x:c r="X40" s="234"/>
      <x:c r="Y40" s="217"/>
      <x:c r="Z40" s="356" t="str">
        <x:f t="shared" ref="Z40:Z42" si="161">IF($K40="","",IF(COUNT(FIND("국비/",$K40)),"국도비",IF(COUNT(FIND("균특/",$K40)),"국도비",IF(COUNT(FIND("기금/",$K40)),"국도비",IF(COUNT(FIND("교부세/",$K40)),"국도비",IF(COUNT(FIND("소방안전/",$K40)),"국도비",IF(COUNT(FIND("소멸대응/",$K40)),"국도비","도비")))))))</x:f>
        <x:v/>
      </x:c>
      <x:c r="AA40" s="61"/>
      <x:c r="AB40" s="486" t="str">
        <x:f t="shared" ref="AB40:AB42" si="162">IF($Z40="","",IF($Z40="국도비","금액입력",0))</x:f>
        <x:v/>
      </x:c>
      <x:c r="AC40" s="487">
        <x:f t="shared" ref="AC40:AC42" si="163">IFERROR(P40-AB40,0)</x:f>
        <x:v>0</x:v>
      </x:c>
      <x:c r="AD40" s="356" t="str">
        <x:f t="shared" si="3"/>
        <x:v>OK</x:v>
      </x:c>
      <x:c r="AE40" s="8"/>
      <x:c r="AF40" s="502" t="str">
        <x:f t="shared" ref="AF40:AF42" si="164">IF($Z40="","",IF($Z40="국도비","금액입력",0))</x:f>
        <x:v/>
      </x:c>
      <x:c r="AG40" s="503">
        <x:f t="shared" ref="AG40:AG42" si="165">IFERROR(R40-AF40,0)</x:f>
        <x:v>0</x:v>
      </x:c>
      <x:c r="AH40" s="381" t="str">
        <x:f t="shared" si="4"/>
        <x:v>OK</x:v>
      </x:c>
      <x:c r="AI40" s="8"/>
      <x:c r="AJ40" s="221" t="str">
        <x:f t="shared" ref="AJ40:AJ42" si="166">IF($Z40="","",IF($Z40="도비","-","세입번호입력"))</x:f>
        <x:v/>
      </x:c>
      <x:c r="AK40" s="356" t="str">
        <x:f t="shared" ref="AK40:AK42" si="167">IF(OR(AJ40="",AJ40="-",AJ40="세입번호입력"),"",COUNTIF($AJ$7:$AJ$1013,AJ40))</x:f>
        <x:v/>
      </x:c>
      <x:c r="AL40" s="356" t="str">
        <x:f t="shared" ref="AL40:AL42" si="168">IF($AJ40="","",IF($Z40="도비","OK",IF(AND($Z40="국도비",$AJ40="세입없음"),"OK",IF(AND($Z40="국도비",$AJ40="세입번호입력"),"@@","OK"))))</x:f>
        <x:v/>
      </x:c>
      <x:c r="AM40" s="356" t="str">
        <x:f t="shared" ref="AM40:AM42" si="169">IF($K40="","",IF(COUNT(FIND("국비/",$K40)),"국비",IF(COUNT(FIND("균특/",$K40)),"균특",IF(COUNT(FIND("기금/",$K40)),"기금",IF(COUNT(FIND("교부세/",$K40)),"특교",IF(COUNT(FIND("소방안전/",$K40)),"소교",IF(COUNT(FIND("소멸대응/",$K40)),"소멸","도비")))))))</x:f>
        <x:v/>
      </x:c>
      <x:c r="AN40" s="356" t="str">
        <x:f>IF($AM40="","",IF($AM40="도비","OK",IF($AJ40="세입없음","OK",IF($AJ40="세입번호입력","@@",IF(VLOOKUP($AJ40,'5. 기입'!$AH$6:$AI$1012,2,FALSE)='5. 기출'!$AM40,"OK","@@")))))</x:f>
        <x:v/>
      </x:c>
    </x:row>
    <x:row r="41" spans="1:40" s="20" customFormat="1" ht="80.099999999999994" customHeight="1">
      <x:c r="A41" s="155" t="str">
        <x:f>IF(D41="","",COUNTA($C$7:C41)-COUNTBLANK($C$7:C41)+9)</x:f>
        <x:v/>
      </x:c>
      <x:c r="B41" s="156" t="str">
        <x: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x:f>
        <x:v/>
      </x:c>
      <x:c r="C41" s="156" t="str">
        <x:f>IF(D41="","",IF(OR(D41="교육지원과",D41="총무과",D41="인사과"),"직접입력",VLOOKUP(D41,구분표!$A$3:$C$258,3,)))</x:f>
        <x:v/>
      </x:c>
      <x:c r="D41" s="226"/>
      <x:c r="E41" s="213"/>
      <x:c r="F41" s="388" t="str">
        <x:f t="shared" ref="F41:G42" si="170">IF($E41="","",IF($E41="2추","직접입력","-"))</x:f>
        <x:v/>
      </x:c>
      <x:c r="G41" s="388" t="str">
        <x:f t="shared" si="170"/>
        <x:v/>
      </x:c>
      <x:c r="H41" s="213"/>
      <x:c r="I41" s="156" t="str">
        <x:f>IF(H41="","",VLOOKUP($H41,구분표!$K$3:$M$147,2,FALSE))</x:f>
        <x:v/>
      </x:c>
      <x:c r="J41" s="156" t="str">
        <x:f>IF(I41="","",VLOOKUP($H41,구분표!$K$3:$M$147,3,FALSE))</x:f>
        <x:v/>
      </x:c>
      <x:c r="K41" s="233"/>
      <x:c r="L41" s="233"/>
      <x:c r="M41" s="459" t="str">
        <x:f t="shared" ref="M41:M42" si="171">IF($E41="","",IF(OR($E41="2추",$E41="1추",$E41="본예산"),"금액입력","-"))</x:f>
        <x:v/>
      </x:c>
      <x:c r="N41" s="459" t="str">
        <x:f t="shared" ref="N41:N42" si="172">IF($E41="","",IF($E41="2추","금액입력","-"))</x:f>
        <x:v/>
      </x:c>
      <x:c r="O41" s="461" t="str">
        <x:f t="shared" si="157"/>
        <x:v/>
      </x:c>
      <x:c r="P41" s="460"/>
      <x:c r="Q41" s="461">
        <x:f t="shared" si="158"/>
        <x:v>0</x:v>
      </x:c>
      <x:c r="R41" s="462"/>
      <x:c r="S41" s="463">
        <x:f t="shared" si="159"/>
        <x:v>0</x:v>
      </x:c>
      <x:c r="T41" s="162" t="str">
        <x:f t="shared" si="160"/>
        <x:v>X</x:v>
      </x:c>
      <x:c r="U41" s="230"/>
      <x:c r="V41" s="224"/>
      <x:c r="W41" s="217"/>
      <x:c r="X41" s="234"/>
      <x:c r="Y41" s="217"/>
      <x:c r="Z41" s="356" t="str">
        <x:f t="shared" si="161"/>
        <x:v/>
      </x:c>
      <x:c r="AA41" s="61"/>
      <x:c r="AB41" s="486" t="str">
        <x:f t="shared" si="162"/>
        <x:v/>
      </x:c>
      <x:c r="AC41" s="487">
        <x:f t="shared" si="163"/>
        <x:v>0</x:v>
      </x:c>
      <x:c r="AD41" s="356" t="str">
        <x:f t="shared" si="3"/>
        <x:v>OK</x:v>
      </x:c>
      <x:c r="AE41" s="8"/>
      <x:c r="AF41" s="502" t="str">
        <x:f t="shared" si="164"/>
        <x:v/>
      </x:c>
      <x:c r="AG41" s="503">
        <x:f t="shared" si="165"/>
        <x:v>0</x:v>
      </x:c>
      <x:c r="AH41" s="381" t="str">
        <x:f t="shared" si="4"/>
        <x:v>OK</x:v>
      </x:c>
      <x:c r="AI41" s="8"/>
      <x:c r="AJ41" s="221" t="str">
        <x:f t="shared" si="166"/>
        <x:v/>
      </x:c>
      <x:c r="AK41" s="356" t="str">
        <x:f t="shared" si="167"/>
        <x:v/>
      </x:c>
      <x:c r="AL41" s="356" t="str">
        <x:f t="shared" si="168"/>
        <x:v/>
      </x:c>
      <x:c r="AM41" s="356" t="str">
        <x:f t="shared" si="169"/>
        <x:v/>
      </x:c>
      <x:c r="AN41" s="356" t="str">
        <x:f>IF($AM41="","",IF($AM41="도비","OK",IF($AJ41="세입없음","OK",IF($AJ41="세입번호입력","@@",IF(VLOOKUP($AJ41,'5. 기입'!$AH$6:$AI$1012,2,FALSE)='5. 기출'!$AM41,"OK","@@")))))</x:f>
        <x:v/>
      </x:c>
    </x:row>
    <x:row r="42" spans="1:40" s="20" customFormat="1" ht="80.099999999999994" customHeight="1">
      <x:c r="A42" s="155" t="str">
        <x:f>IF(D42="","",COUNTA($C$7:C42)-COUNTBLANK($C$7:C42)+9)</x:f>
        <x:v/>
      </x:c>
      <x:c r="B42" s="156" t="str">
        <x: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x:f>
        <x:v/>
      </x:c>
      <x:c r="C42" s="156" t="str">
        <x:f>IF(D42="","",IF(OR(D42="교육지원과",D42="총무과",D42="인사과"),"직접입력",VLOOKUP(D42,구분표!$A$3:$C$258,3,)))</x:f>
        <x:v/>
      </x:c>
      <x:c r="D42" s="226"/>
      <x:c r="E42" s="213"/>
      <x:c r="F42" s="388" t="str">
        <x:f t="shared" si="170"/>
        <x:v/>
      </x:c>
      <x:c r="G42" s="388" t="str">
        <x:f t="shared" si="170"/>
        <x:v/>
      </x:c>
      <x:c r="H42" s="213"/>
      <x:c r="I42" s="156" t="str">
        <x:f>IF(H42="","",VLOOKUP($H42,구분표!$K$3:$M$147,2,FALSE))</x:f>
        <x:v/>
      </x:c>
      <x:c r="J42" s="156" t="str">
        <x:f>IF(I42="","",VLOOKUP($H42,구분표!$K$3:$M$147,3,FALSE))</x:f>
        <x:v/>
      </x:c>
      <x:c r="K42" s="233"/>
      <x:c r="L42" s="233"/>
      <x:c r="M42" s="459" t="str">
        <x:f t="shared" si="171"/>
        <x:v/>
      </x:c>
      <x:c r="N42" s="459" t="str">
        <x:f t="shared" si="172"/>
        <x:v/>
      </x:c>
      <x:c r="O42" s="461" t="str">
        <x:f t="shared" si="157"/>
        <x:v/>
      </x:c>
      <x:c r="P42" s="460"/>
      <x:c r="Q42" s="461">
        <x:f t="shared" si="158"/>
        <x:v>0</x:v>
      </x:c>
      <x:c r="R42" s="462"/>
      <x:c r="S42" s="463">
        <x:f t="shared" si="159"/>
        <x:v>0</x:v>
      </x:c>
      <x:c r="T42" s="162" t="str">
        <x:f t="shared" si="160"/>
        <x:v>X</x:v>
      </x:c>
      <x:c r="U42" s="230"/>
      <x:c r="V42" s="224"/>
      <x:c r="W42" s="217"/>
      <x:c r="X42" s="234"/>
      <x:c r="Y42" s="217"/>
      <x:c r="Z42" s="356" t="str">
        <x:f t="shared" si="161"/>
        <x:v/>
      </x:c>
      <x:c r="AA42" s="61"/>
      <x:c r="AB42" s="486" t="str">
        <x:f t="shared" si="162"/>
        <x:v/>
      </x:c>
      <x:c r="AC42" s="487">
        <x:f t="shared" si="163"/>
        <x:v>0</x:v>
      </x:c>
      <x:c r="AD42" s="356" t="str">
        <x:f t="shared" si="3"/>
        <x:v>OK</x:v>
      </x:c>
      <x:c r="AE42" s="8"/>
      <x:c r="AF42" s="502" t="str">
        <x:f t="shared" si="164"/>
        <x:v/>
      </x:c>
      <x:c r="AG42" s="503">
        <x:f t="shared" si="165"/>
        <x:v>0</x:v>
      </x:c>
      <x:c r="AH42" s="381" t="str">
        <x:f t="shared" si="4"/>
        <x:v>OK</x:v>
      </x:c>
      <x:c r="AI42" s="8"/>
      <x:c r="AJ42" s="221" t="str">
        <x:f t="shared" si="166"/>
        <x:v/>
      </x:c>
      <x:c r="AK42" s="356" t="str">
        <x:f t="shared" si="167"/>
        <x:v/>
      </x:c>
      <x:c r="AL42" s="356" t="str">
        <x:f t="shared" si="168"/>
        <x:v/>
      </x:c>
      <x:c r="AM42" s="356" t="str">
        <x:f t="shared" si="169"/>
        <x:v/>
      </x:c>
      <x:c r="AN42" s="356" t="str">
        <x:f>IF($AM42="","",IF($AM42="도비","OK",IF($AJ42="세입없음","OK",IF($AJ42="세입번호입력","@@",IF(VLOOKUP($AJ42,'5. 기입'!$AH$6:$AI$1012,2,FALSE)='5. 기출'!$AM42,"OK","@@")))))</x:f>
        <x:v/>
      </x:c>
    </x:row>
    <x:row r="43" spans="1:40" ht="60" customHeight="1">
      <x:c r="A43" s="167"/>
      <x:c r="B43" s="888" t="s">
        <x:v>871</x:v>
      </x:c>
      <x:c r="C43" s="888"/>
      <x:c r="D43" s="888"/>
      <x:c r="E43" s="888"/>
      <x:c r="F43" s="888"/>
      <x:c r="G43" s="888"/>
      <x:c r="H43" s="888"/>
      <x:c r="I43" s="888"/>
      <x:c r="J43" s="888"/>
      <x:c r="K43" s="83"/>
      <x:c r="L43" s="363" t="str">
        <x:f>SUBTOTAL(3,L44:L46)&amp;"건"</x:f>
        <x:v>0건</x:v>
      </x:c>
      <x:c r="M43" s="477">
        <x:f>SUBTOTAL(9,M44:M46)</x:f>
        <x:v>0</x:v>
      </x:c>
      <x:c r="N43" s="477">
        <x:f t="shared" ref="N43:S43" si="173">SUBTOTAL(9,N44:N46)</x:f>
        <x:v>0</x:v>
      </x:c>
      <x:c r="O43" s="477">
        <x:f t="shared" si="173"/>
        <x:v>0</x:v>
      </x:c>
      <x:c r="P43" s="477">
        <x:f t="shared" si="173"/>
        <x:v>0</x:v>
      </x:c>
      <x:c r="Q43" s="477">
        <x:f t="shared" si="173"/>
        <x:v>0</x:v>
      </x:c>
      <x:c r="R43" s="477">
        <x:f t="shared" si="173"/>
        <x:v>0</x:v>
      </x:c>
      <x:c r="S43" s="477">
        <x:f t="shared" si="173"/>
        <x:v>0</x:v>
      </x:c>
      <x:c r="T43" s="82"/>
      <x:c r="U43" s="84"/>
      <x:c r="V43" s="84"/>
      <x:c r="W43" s="85"/>
      <x:c r="X43" s="178"/>
      <x:c r="Y43" s="86"/>
      <x:c r="Z43" s="82"/>
      <x:c r="AA43" s="44"/>
      <x:c r="AB43" s="477">
        <x:f t="shared" ref="AB43:AC43" si="174">SUBTOTAL(9,AB44:AB46)</x:f>
        <x:v>0</x:v>
      </x:c>
      <x:c r="AC43" s="477">
        <x:f t="shared" si="174"/>
        <x:v>0</x:v>
      </x:c>
      <x:c r="AD43" s="556" t="str">
        <x:f>IF(COUNTIF(AD44:AD46,"@@")&gt;0,"@@","OK")</x:f>
        <x:v>OK</x:v>
      </x:c>
      <x:c r="AE43" s="53"/>
      <x:c r="AF43" s="477">
        <x:f t="shared" ref="AF43:AG43" si="175">SUBTOTAL(9,AF44:AF46)</x:f>
        <x:v>0</x:v>
      </x:c>
      <x:c r="AG43" s="477">
        <x:f t="shared" si="175"/>
        <x:v>0</x:v>
      </x:c>
      <x:c r="AH43" s="556" t="str">
        <x:f>IF(COUNTIF(AH44:AH46,"@@")&gt;0,"@@","OK")</x:f>
        <x:v>OK</x:v>
      </x:c>
      <x:c r="AI43" s="44"/>
      <x:c r="AJ43" s="81"/>
      <x:c r="AK43" s="81"/>
      <x:c r="AL43" s="556" t="str">
        <x:f>IF(COUNTIF(AL44:AL46,"@@")&gt;0,"@@","OK")</x:f>
        <x:v>OK</x:v>
      </x:c>
      <x:c r="AM43" s="81"/>
      <x:c r="AN43" s="556" t="str">
        <x:f>IF(COUNTIF(AN44:AN46,"@@")&gt;0,"@@","OK")</x:f>
        <x:v>OK</x:v>
      </x:c>
    </x:row>
    <x:row r="44" spans="1:40" s="20" customFormat="1" ht="80.099999999999994" customHeight="1">
      <x:c r="A44" s="155" t="str">
        <x:f>IF(D44="","",COUNTA($C$7:C44)-COUNTBLANK($C$7:C44)+10)</x:f>
        <x:v/>
      </x:c>
      <x:c r="B44" s="156" t="str">
        <x: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x:f>
        <x:v/>
      </x:c>
      <x:c r="C44" s="156" t="str">
        <x:f>IF(D44="","",IF(OR(D44="교육지원과",D44="총무과",D44="인사과"),"직접입력",VLOOKUP(D44,구분표!$A$3:$C$258,3,)))</x:f>
        <x:v/>
      </x:c>
      <x:c r="D44" s="226"/>
      <x:c r="E44" s="213"/>
      <x:c r="F44" s="388" t="str">
        <x:f>IF($E44="","",IF($E44="2추","직접입력","-"))</x:f>
        <x:v/>
      </x:c>
      <x:c r="G44" s="388" t="str">
        <x:f>IF($E44="","",IF($E44="2추","직접입력","-"))</x:f>
        <x:v/>
      </x:c>
      <x:c r="H44" s="213"/>
      <x:c r="I44" s="156" t="str">
        <x:f>IF(H44="","",VLOOKUP($H44,구분표!$K$3:$M$147,2,FALSE))</x:f>
        <x:v/>
      </x:c>
      <x:c r="J44" s="156" t="str">
        <x:f>IF(I44="","",VLOOKUP($H44,구분표!$K$3:$M$147,3,FALSE))</x:f>
        <x:v/>
      </x:c>
      <x:c r="K44" s="233"/>
      <x:c r="L44" s="233"/>
      <x:c r="M44" s="459" t="str">
        <x:f>IF($E44="","",IF(OR($E44="2추",$E44="1추",$E44="본예산"),"금액입력","-"))</x:f>
        <x:v/>
      </x:c>
      <x:c r="N44" s="459" t="str">
        <x:f>IF($E44="","",IF($E44="2추","금액입력","-"))</x:f>
        <x:v/>
      </x:c>
      <x:c r="O44" s="461" t="str">
        <x:f t="shared" ref="O44:O46" si="176">IF($E44="","",SUM(M44:N44))</x:f>
        <x:v/>
      </x:c>
      <x:c r="P44" s="460"/>
      <x:c r="Q44" s="461">
        <x:f t="shared" ref="Q44:Q46" si="177">SUM(O44:P44)</x:f>
        <x:v>0</x:v>
      </x:c>
      <x:c r="R44" s="462"/>
      <x:c r="S44" s="463">
        <x:f t="shared" ref="S44:S46" si="178">SUM(O44,R44)</x:f>
        <x:v>0</x:v>
      </x:c>
      <x:c r="T44" s="162" t="str">
        <x:f t="shared" ref="T44:T46" si="179">IF(AND((Q44=0),(S44&gt;0)),"O",IF(AND((P44&lt;0),(Q44-S44&lt;0)),"O","X"))</x:f>
        <x:v>X</x:v>
      </x:c>
      <x:c r="U44" s="230"/>
      <x:c r="V44" s="224"/>
      <x:c r="W44" s="217"/>
      <x:c r="X44" s="234"/>
      <x:c r="Y44" s="217"/>
      <x:c r="Z44" s="356" t="str">
        <x:f t="shared" ref="Z44:Z46" si="180">IF($K44="","",IF(COUNT(FIND("국비/",$K44)),"국도비",IF(COUNT(FIND("균특/",$K44)),"국도비",IF(COUNT(FIND("기금/",$K44)),"국도비",IF(COUNT(FIND("교부세/",$K44)),"국도비",IF(COUNT(FIND("소방안전/",$K44)),"국도비",IF(COUNT(FIND("소멸대응/",$K44)),"국도비","도비")))))))</x:f>
        <x:v/>
      </x:c>
      <x:c r="AA44" s="61"/>
      <x:c r="AB44" s="486" t="str">
        <x:f t="shared" ref="AB44:AB46" si="181">IF($Z44="","",IF($Z44="국도비","금액입력",0))</x:f>
        <x:v/>
      </x:c>
      <x:c r="AC44" s="487">
        <x:f t="shared" ref="AC44:AC46" si="182">IFERROR(P44-AB44,0)</x:f>
        <x:v>0</x:v>
      </x:c>
      <x:c r="AD44" s="356" t="str">
        <x:f t="shared" si="3"/>
        <x:v>OK</x:v>
      </x:c>
      <x:c r="AE44" s="8"/>
      <x:c r="AF44" s="502" t="str">
        <x:f t="shared" ref="AF44:AF46" si="183">IF($Z44="","",IF($Z44="국도비","금액입력",0))</x:f>
        <x:v/>
      </x:c>
      <x:c r="AG44" s="503">
        <x:f t="shared" ref="AG44:AG46" si="184">IFERROR(R44-AF44,0)</x:f>
        <x:v>0</x:v>
      </x:c>
      <x:c r="AH44" s="381" t="str">
        <x:f t="shared" si="4"/>
        <x:v>OK</x:v>
      </x:c>
      <x:c r="AI44" s="8"/>
      <x:c r="AJ44" s="221" t="str">
        <x:f t="shared" ref="AJ44:AJ46" si="185">IF($Z44="","",IF($Z44="도비","-","세입번호입력"))</x:f>
        <x:v/>
      </x:c>
      <x:c r="AK44" s="356" t="str">
        <x:f t="shared" ref="AK44:AK46" si="186">IF(OR(AJ44="",AJ44="-",AJ44="세입번호입력"),"",COUNTIF($AJ$7:$AJ$1013,AJ44))</x:f>
        <x:v/>
      </x:c>
      <x:c r="AL44" s="356" t="str">
        <x:f t="shared" ref="AL44:AL46" si="187">IF($AJ44="","",IF($Z44="도비","OK",IF(AND($Z44="국도비",$AJ44="세입없음"),"OK",IF(AND($Z44="국도비",$AJ44="세입번호입력"),"@@","OK"))))</x:f>
        <x:v/>
      </x:c>
      <x:c r="AM44" s="356" t="str">
        <x:f t="shared" ref="AM44:AM46" si="188">IF($K44="","",IF(COUNT(FIND("국비/",$K44)),"국비",IF(COUNT(FIND("균특/",$K44)),"균특",IF(COUNT(FIND("기금/",$K44)),"기금",IF(COUNT(FIND("교부세/",$K44)),"특교",IF(COUNT(FIND("소방안전/",$K44)),"소교",IF(COUNT(FIND("소멸대응/",$K44)),"소멸","도비")))))))</x:f>
        <x:v/>
      </x:c>
      <x:c r="AN44" s="356" t="str">
        <x:f>IF($AM44="","",IF($AM44="도비","OK",IF($AJ44="세입없음","OK",IF($AJ44="세입번호입력","@@",IF(VLOOKUP($AJ44,'5. 기입'!$AH$6:$AI$1012,2,FALSE)='5. 기출'!$AM44,"OK","@@")))))</x:f>
        <x:v/>
      </x:c>
    </x:row>
    <x:row r="45" spans="1:40" s="20" customFormat="1" ht="80.099999999999994" customHeight="1">
      <x:c r="A45" s="155" t="str">
        <x:f>IF(D45="","",COUNTA($C$7:C45)-COUNTBLANK($C$7:C45)+10)</x:f>
        <x:v/>
      </x:c>
      <x:c r="B45" s="156" t="str">
        <x: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x:f>
        <x:v/>
      </x:c>
      <x:c r="C45" s="156" t="str">
        <x:f>IF(D45="","",IF(OR(D45="교육지원과",D45="총무과",D45="인사과"),"직접입력",VLOOKUP(D45,구분표!$A$3:$C$258,3,)))</x:f>
        <x:v/>
      </x:c>
      <x:c r="D45" s="226"/>
      <x:c r="E45" s="213"/>
      <x:c r="F45" s="388" t="str">
        <x:f t="shared" ref="F45:G46" si="189">IF($E45="","",IF($E45="2추","직접입력","-"))</x:f>
        <x:v/>
      </x:c>
      <x:c r="G45" s="388" t="str">
        <x:f t="shared" si="189"/>
        <x:v/>
      </x:c>
      <x:c r="H45" s="213"/>
      <x:c r="I45" s="156" t="str">
        <x:f>IF(H45="","",VLOOKUP($H45,구분표!$K$3:$M$147,2,FALSE))</x:f>
        <x:v/>
      </x:c>
      <x:c r="J45" s="156" t="str">
        <x:f>IF(I45="","",VLOOKUP($H45,구분표!$K$3:$M$147,3,FALSE))</x:f>
        <x:v/>
      </x:c>
      <x:c r="K45" s="233"/>
      <x:c r="L45" s="233"/>
      <x:c r="M45" s="459" t="str">
        <x:f t="shared" ref="M45:M46" si="190">IF($E45="","",IF(OR($E45="2추",$E45="1추",$E45="본예산"),"금액입력","-"))</x:f>
        <x:v/>
      </x:c>
      <x:c r="N45" s="459" t="str">
        <x:f t="shared" ref="N45:N46" si="191">IF($E45="","",IF($E45="2추","금액입력","-"))</x:f>
        <x:v/>
      </x:c>
      <x:c r="O45" s="461" t="str">
        <x:f t="shared" si="176"/>
        <x:v/>
      </x:c>
      <x:c r="P45" s="460"/>
      <x:c r="Q45" s="461">
        <x:f t="shared" si="177"/>
        <x:v>0</x:v>
      </x:c>
      <x:c r="R45" s="462"/>
      <x:c r="S45" s="463">
        <x:f t="shared" si="178"/>
        <x:v>0</x:v>
      </x:c>
      <x:c r="T45" s="162" t="str">
        <x:f t="shared" si="179"/>
        <x:v>X</x:v>
      </x:c>
      <x:c r="U45" s="230"/>
      <x:c r="V45" s="224"/>
      <x:c r="W45" s="217"/>
      <x:c r="X45" s="234"/>
      <x:c r="Y45" s="217"/>
      <x:c r="Z45" s="356" t="str">
        <x:f t="shared" si="180"/>
        <x:v/>
      </x:c>
      <x:c r="AA45" s="61"/>
      <x:c r="AB45" s="486" t="str">
        <x:f t="shared" si="181"/>
        <x:v/>
      </x:c>
      <x:c r="AC45" s="487">
        <x:f t="shared" si="182"/>
        <x:v>0</x:v>
      </x:c>
      <x:c r="AD45" s="356" t="str">
        <x:f t="shared" si="3"/>
        <x:v>OK</x:v>
      </x:c>
      <x:c r="AE45" s="8"/>
      <x:c r="AF45" s="502" t="str">
        <x:f t="shared" si="183"/>
        <x:v/>
      </x:c>
      <x:c r="AG45" s="503">
        <x:f t="shared" si="184"/>
        <x:v>0</x:v>
      </x:c>
      <x:c r="AH45" s="381" t="str">
        <x:f t="shared" si="4"/>
        <x:v>OK</x:v>
      </x:c>
      <x:c r="AI45" s="8"/>
      <x:c r="AJ45" s="221" t="str">
        <x:f t="shared" si="185"/>
        <x:v/>
      </x:c>
      <x:c r="AK45" s="356" t="str">
        <x:f t="shared" si="186"/>
        <x:v/>
      </x:c>
      <x:c r="AL45" s="356" t="str">
        <x:f t="shared" si="187"/>
        <x:v/>
      </x:c>
      <x:c r="AM45" s="356" t="str">
        <x:f t="shared" si="188"/>
        <x:v/>
      </x:c>
      <x:c r="AN45" s="356" t="str">
        <x:f>IF($AM45="","",IF($AM45="도비","OK",IF($AJ45="세입없음","OK",IF($AJ45="세입번호입력","@@",IF(VLOOKUP($AJ45,'5. 기입'!$AH$6:$AI$1012,2,FALSE)='5. 기출'!$AM45,"OK","@@")))))</x:f>
        <x:v/>
      </x:c>
    </x:row>
    <x:row r="46" spans="1:40" s="20" customFormat="1" ht="80.099999999999994" customHeight="1">
      <x:c r="A46" s="155" t="str">
        <x:f>IF(D46="","",COUNTA($C$7:C46)-COUNTBLANK($C$7:C46)+10)</x:f>
        <x:v/>
      </x:c>
      <x:c r="B46" s="156" t="str">
        <x: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x:f>
        <x:v/>
      </x:c>
      <x:c r="C46" s="156" t="str">
        <x:f>IF(D46="","",IF(OR(D46="교육지원과",D46="총무과",D46="인사과"),"직접입력",VLOOKUP(D46,구분표!$A$3:$C$258,3,)))</x:f>
        <x:v/>
      </x:c>
      <x:c r="D46" s="226"/>
      <x:c r="E46" s="213"/>
      <x:c r="F46" s="388" t="str">
        <x:f t="shared" si="189"/>
        <x:v/>
      </x:c>
      <x:c r="G46" s="388" t="str">
        <x:f t="shared" si="189"/>
        <x:v/>
      </x:c>
      <x:c r="H46" s="213"/>
      <x:c r="I46" s="156" t="str">
        <x:f>IF(H46="","",VLOOKUP($H46,구분표!$K$3:$M$147,2,FALSE))</x:f>
        <x:v/>
      </x:c>
      <x:c r="J46" s="156" t="str">
        <x:f>IF(I46="","",VLOOKUP($H46,구분표!$K$3:$M$147,3,FALSE))</x:f>
        <x:v/>
      </x:c>
      <x:c r="K46" s="233"/>
      <x:c r="L46" s="233"/>
      <x:c r="M46" s="459" t="str">
        <x:f t="shared" si="190"/>
        <x:v/>
      </x:c>
      <x:c r="N46" s="459" t="str">
        <x:f t="shared" si="191"/>
        <x:v/>
      </x:c>
      <x:c r="O46" s="461" t="str">
        <x:f t="shared" si="176"/>
        <x:v/>
      </x:c>
      <x:c r="P46" s="460"/>
      <x:c r="Q46" s="461">
        <x:f t="shared" si="177"/>
        <x:v>0</x:v>
      </x:c>
      <x:c r="R46" s="462"/>
      <x:c r="S46" s="463">
        <x:f t="shared" si="178"/>
        <x:v>0</x:v>
      </x:c>
      <x:c r="T46" s="162" t="str">
        <x:f t="shared" si="179"/>
        <x:v>X</x:v>
      </x:c>
      <x:c r="U46" s="230"/>
      <x:c r="V46" s="224"/>
      <x:c r="W46" s="217"/>
      <x:c r="X46" s="234"/>
      <x:c r="Y46" s="217"/>
      <x:c r="Z46" s="356" t="str">
        <x:f t="shared" si="180"/>
        <x:v/>
      </x:c>
      <x:c r="AA46" s="61"/>
      <x:c r="AB46" s="486" t="str">
        <x:f t="shared" si="181"/>
        <x:v/>
      </x:c>
      <x:c r="AC46" s="487">
        <x:f t="shared" si="182"/>
        <x:v>0</x:v>
      </x:c>
      <x:c r="AD46" s="356" t="str">
        <x:f t="shared" si="3"/>
        <x:v>OK</x:v>
      </x:c>
      <x:c r="AE46" s="8"/>
      <x:c r="AF46" s="502" t="str">
        <x:f t="shared" si="183"/>
        <x:v/>
      </x:c>
      <x:c r="AG46" s="503">
        <x:f t="shared" si="184"/>
        <x:v>0</x:v>
      </x:c>
      <x:c r="AH46" s="381" t="str">
        <x:f t="shared" si="4"/>
        <x:v>OK</x:v>
      </x:c>
      <x:c r="AI46" s="8"/>
      <x:c r="AJ46" s="221" t="str">
        <x:f t="shared" si="185"/>
        <x:v/>
      </x:c>
      <x:c r="AK46" s="356" t="str">
        <x:f t="shared" si="186"/>
        <x:v/>
      </x:c>
      <x:c r="AL46" s="356" t="str">
        <x:f t="shared" si="187"/>
        <x:v/>
      </x:c>
      <x:c r="AM46" s="356" t="str">
        <x:f t="shared" si="188"/>
        <x:v/>
      </x:c>
      <x:c r="AN46" s="356" t="str">
        <x:f>IF($AM46="","",IF($AM46="도비","OK",IF($AJ46="세입없음","OK",IF($AJ46="세입번호입력","@@",IF(VLOOKUP($AJ46,'5. 기입'!$AH$6:$AI$1012,2,FALSE)='5. 기출'!$AM46,"OK","@@")))))</x:f>
        <x:v/>
      </x:c>
    </x:row>
    <x:row r="47" spans="1:40" ht="60" customHeight="1">
      <x:c r="A47" s="167"/>
      <x:c r="B47" s="888" t="s">
        <x:v>874</x:v>
      </x:c>
      <x:c r="C47" s="888"/>
      <x:c r="D47" s="888"/>
      <x:c r="E47" s="888"/>
      <x:c r="F47" s="888"/>
      <x:c r="G47" s="888"/>
      <x:c r="H47" s="888"/>
      <x:c r="I47" s="888"/>
      <x:c r="J47" s="888"/>
      <x:c r="K47" s="83"/>
      <x:c r="L47" s="363" t="str">
        <x:f>SUBTOTAL(3,L48:L50)&amp;"건"</x:f>
        <x:v>0건</x:v>
      </x:c>
      <x:c r="M47" s="477">
        <x:f>SUBTOTAL(9,M48:M50)</x:f>
        <x:v>0</x:v>
      </x:c>
      <x:c r="N47" s="477">
        <x:f t="shared" ref="N47:S47" si="192">SUBTOTAL(9,N48:N50)</x:f>
        <x:v>0</x:v>
      </x:c>
      <x:c r="O47" s="477">
        <x:f t="shared" si="192"/>
        <x:v>0</x:v>
      </x:c>
      <x:c r="P47" s="477">
        <x:f t="shared" si="192"/>
        <x:v>0</x:v>
      </x:c>
      <x:c r="Q47" s="477">
        <x:f t="shared" si="192"/>
        <x:v>0</x:v>
      </x:c>
      <x:c r="R47" s="477">
        <x:f t="shared" si="192"/>
        <x:v>0</x:v>
      </x:c>
      <x:c r="S47" s="477">
        <x:f t="shared" si="192"/>
        <x:v>0</x:v>
      </x:c>
      <x:c r="T47" s="82"/>
      <x:c r="U47" s="84"/>
      <x:c r="V47" s="84"/>
      <x:c r="W47" s="85"/>
      <x:c r="X47" s="40"/>
      <x:c r="Y47" s="86"/>
      <x:c r="Z47" s="82"/>
      <x:c r="AA47" s="44"/>
      <x:c r="AB47" s="477">
        <x:f t="shared" ref="AB47:AC47" si="193">SUBTOTAL(9,AB48:AB50)</x:f>
        <x:v>0</x:v>
      </x:c>
      <x:c r="AC47" s="477">
        <x:f t="shared" si="193"/>
        <x:v>0</x:v>
      </x:c>
      <x:c r="AD47" s="556" t="str">
        <x:f>IF(COUNTIF(AD48:AD50,"@@")&gt;0,"@@","OK")</x:f>
        <x:v>OK</x:v>
      </x:c>
      <x:c r="AE47" s="53"/>
      <x:c r="AF47" s="477">
        <x:f t="shared" ref="AF47:AG47" si="194">SUBTOTAL(9,AF48:AF50)</x:f>
        <x:v>0</x:v>
      </x:c>
      <x:c r="AG47" s="477">
        <x:f t="shared" si="194"/>
        <x:v>0</x:v>
      </x:c>
      <x:c r="AH47" s="556" t="str">
        <x:f>IF(COUNTIF(AH48:AH50,"@@")&gt;0,"@@","OK")</x:f>
        <x:v>OK</x:v>
      </x:c>
      <x:c r="AI47" s="44"/>
      <x:c r="AJ47" s="81"/>
      <x:c r="AK47" s="81"/>
      <x:c r="AL47" s="556" t="str">
        <x:f>IF(COUNTIF(AL48:AL50,"@@")&gt;0,"@@","OK")</x:f>
        <x:v>OK</x:v>
      </x:c>
      <x:c r="AM47" s="81"/>
      <x:c r="AN47" s="556" t="str">
        <x:f>IF(COUNTIF(AN48:AN50,"@@")&gt;0,"@@","OK")</x:f>
        <x:v>OK</x:v>
      </x:c>
    </x:row>
    <x:row r="48" spans="1:40" s="20" customFormat="1" ht="80.099999999999994" customHeight="1">
      <x:c r="A48" s="155" t="str">
        <x:f>IF(D48="","",COUNTA($C$7:C48)-COUNTBLANK($C$7:C48)+11)</x:f>
        <x:v/>
      </x:c>
      <x:c r="B48" s="156" t="str">
        <x: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x:f>
        <x:v/>
      </x:c>
      <x:c r="C48" s="156" t="str">
        <x:f>IF(D48="","",IF(OR(D48="교육지원과",D48="총무과",D48="인사과"),"직접입력",VLOOKUP(D48,구분표!$A$3:$C$258,3,)))</x:f>
        <x:v/>
      </x:c>
      <x:c r="D48" s="226"/>
      <x:c r="E48" s="213"/>
      <x:c r="F48" s="388" t="str">
        <x:f>IF($E48="","",IF($E48="2추","직접입력","-"))</x:f>
        <x:v/>
      </x:c>
      <x:c r="G48" s="388" t="str">
        <x:f>IF($E48="","",IF($E48="2추","직접입력","-"))</x:f>
        <x:v/>
      </x:c>
      <x:c r="H48" s="213"/>
      <x:c r="I48" s="156" t="str">
        <x:f>IF(H48="","",VLOOKUP($H48,구분표!$K$3:$M$147,2,FALSE))</x:f>
        <x:v/>
      </x:c>
      <x:c r="J48" s="156" t="str">
        <x:f>IF(I48="","",VLOOKUP($H48,구분표!$K$3:$M$147,3,FALSE))</x:f>
        <x:v/>
      </x:c>
      <x:c r="K48" s="233"/>
      <x:c r="L48" s="233"/>
      <x:c r="M48" s="459" t="str">
        <x:f>IF($E48="","",IF(OR($E48="2추",$E48="1추",$E48="본예산"),"금액입력","-"))</x:f>
        <x:v/>
      </x:c>
      <x:c r="N48" s="459" t="str">
        <x:f>IF($E48="","",IF($E48="2추","금액입력","-"))</x:f>
        <x:v/>
      </x:c>
      <x:c r="O48" s="461" t="str">
        <x:f t="shared" ref="O48:O50" si="195">IF($E48="","",SUM(M48:N48))</x:f>
        <x:v/>
      </x:c>
      <x:c r="P48" s="460"/>
      <x:c r="Q48" s="461">
        <x:f t="shared" ref="Q48:Q50" si="196">SUM(O48:P48)</x:f>
        <x:v>0</x:v>
      </x:c>
      <x:c r="R48" s="462"/>
      <x:c r="S48" s="463">
        <x:f t="shared" ref="S48:S50" si="197">SUM(O48,R48)</x:f>
        <x:v>0</x:v>
      </x:c>
      <x:c r="T48" s="162" t="str">
        <x:f t="shared" ref="T48:T50" si="198">IF(AND((Q48=0),(S48&gt;0)),"O",IF(AND((P48&lt;0),(Q48-S48&lt;0)),"O","X"))</x:f>
        <x:v>X</x:v>
      </x:c>
      <x:c r="U48" s="230"/>
      <x:c r="V48" s="224"/>
      <x:c r="W48" s="217"/>
      <x:c r="X48" s="234"/>
      <x:c r="Y48" s="217"/>
      <x:c r="Z48" s="356" t="str">
        <x:f t="shared" ref="Z48:Z50" si="199">IF($K48="","",IF(COUNT(FIND("국비/",$K48)),"국도비",IF(COUNT(FIND("균특/",$K48)),"국도비",IF(COUNT(FIND("기금/",$K48)),"국도비",IF(COUNT(FIND("교부세/",$K48)),"국도비",IF(COUNT(FIND("소방안전/",$K48)),"국도비",IF(COUNT(FIND("소멸대응/",$K48)),"국도비","도비")))))))</x:f>
        <x:v/>
      </x:c>
      <x:c r="AA48" s="61"/>
      <x:c r="AB48" s="486" t="str">
        <x:f t="shared" ref="AB48:AB50" si="200">IF($Z48="","",IF($Z48="국도비","금액입력",0))</x:f>
        <x:v/>
      </x:c>
      <x:c r="AC48" s="487">
        <x:f t="shared" ref="AC48:AC50" si="201">IFERROR(P48-AB48,0)</x:f>
        <x:v>0</x:v>
      </x:c>
      <x:c r="AD48" s="356" t="str">
        <x:f t="shared" si="3"/>
        <x:v>OK</x:v>
      </x:c>
      <x:c r="AE48" s="8"/>
      <x:c r="AF48" s="502" t="str">
        <x:f t="shared" ref="AF48:AF50" si="202">IF($Z48="","",IF($Z48="국도비","금액입력",0))</x:f>
        <x:v/>
      </x:c>
      <x:c r="AG48" s="503">
        <x:f t="shared" ref="AG48:AG50" si="203">IFERROR(R48-AF48,0)</x:f>
        <x:v>0</x:v>
      </x:c>
      <x:c r="AH48" s="381" t="str">
        <x:f t="shared" si="4"/>
        <x:v>OK</x:v>
      </x:c>
      <x:c r="AI48" s="8"/>
      <x:c r="AJ48" s="221" t="str">
        <x:f t="shared" ref="AJ48:AJ50" si="204">IF($Z48="","",IF($Z48="도비","-","세입번호입력"))</x:f>
        <x:v/>
      </x:c>
      <x:c r="AK48" s="356" t="str">
        <x:f t="shared" ref="AK48:AK50" si="205">IF(OR(AJ48="",AJ48="-",AJ48="세입번호입력"),"",COUNTIF($AJ$7:$AJ$1013,AJ48))</x:f>
        <x:v/>
      </x:c>
      <x:c r="AL48" s="356" t="str">
        <x:f t="shared" ref="AL48:AL50" si="206">IF($AJ48="","",IF($Z48="도비","OK",IF(AND($Z48="국도비",$AJ48="세입없음"),"OK",IF(AND($Z48="국도비",$AJ48="세입번호입력"),"@@","OK"))))</x:f>
        <x:v/>
      </x:c>
      <x:c r="AM48" s="356" t="str">
        <x:f t="shared" ref="AM48:AM50" si="207">IF($K48="","",IF(COUNT(FIND("국비/",$K48)),"국비",IF(COUNT(FIND("균특/",$K48)),"균특",IF(COUNT(FIND("기금/",$K48)),"기금",IF(COUNT(FIND("교부세/",$K48)),"특교",IF(COUNT(FIND("소방안전/",$K48)),"소교",IF(COUNT(FIND("소멸대응/",$K48)),"소멸","도비")))))))</x:f>
        <x:v/>
      </x:c>
      <x:c r="AN48" s="356" t="str">
        <x:f>IF($AM48="","",IF($AM48="도비","OK",IF($AJ48="세입없음","OK",IF($AJ48="세입번호입력","@@",IF(VLOOKUP($AJ48,'5. 기입'!$AH$6:$AI$1012,2,FALSE)='5. 기출'!$AM48,"OK","@@")))))</x:f>
        <x:v/>
      </x:c>
    </x:row>
    <x:row r="49" spans="1:40" s="20" customFormat="1" ht="80.099999999999994" customHeight="1">
      <x:c r="A49" s="155" t="str">
        <x:f>IF(D49="","",COUNTA($C$7:C49)-COUNTBLANK($C$7:C49)+11)</x:f>
        <x:v/>
      </x:c>
      <x:c r="B49" s="156" t="str">
        <x: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x:f>
        <x:v/>
      </x:c>
      <x:c r="C49" s="156" t="str">
        <x:f>IF(D49="","",IF(OR(D49="교육지원과",D49="총무과",D49="인사과"),"직접입력",VLOOKUP(D49,구분표!$A$3:$C$258,3,)))</x:f>
        <x:v/>
      </x:c>
      <x:c r="D49" s="226"/>
      <x:c r="E49" s="213"/>
      <x:c r="F49" s="388" t="str">
        <x:f t="shared" ref="F49:G50" si="208">IF($E49="","",IF($E49="2추","직접입력","-"))</x:f>
        <x:v/>
      </x:c>
      <x:c r="G49" s="388" t="str">
        <x:f t="shared" si="208"/>
        <x:v/>
      </x:c>
      <x:c r="H49" s="213"/>
      <x:c r="I49" s="156" t="str">
        <x:f>IF(H49="","",VLOOKUP($H49,구분표!$K$3:$M$147,2,FALSE))</x:f>
        <x:v/>
      </x:c>
      <x:c r="J49" s="156" t="str">
        <x:f>IF(I49="","",VLOOKUP($H49,구분표!$K$3:$M$147,3,FALSE))</x:f>
        <x:v/>
      </x:c>
      <x:c r="K49" s="233"/>
      <x:c r="L49" s="233"/>
      <x:c r="M49" s="459" t="str">
        <x:f t="shared" ref="M49:M50" si="209">IF($E49="","",IF(OR($E49="2추",$E49="1추",$E49="본예산"),"금액입력","-"))</x:f>
        <x:v/>
      </x:c>
      <x:c r="N49" s="459" t="str">
        <x:f t="shared" ref="N49:N50" si="210">IF($E49="","",IF($E49="2추","금액입력","-"))</x:f>
        <x:v/>
      </x:c>
      <x:c r="O49" s="461" t="str">
        <x:f t="shared" si="195"/>
        <x:v/>
      </x:c>
      <x:c r="P49" s="460"/>
      <x:c r="Q49" s="461">
        <x:f t="shared" si="196"/>
        <x:v>0</x:v>
      </x:c>
      <x:c r="R49" s="462"/>
      <x:c r="S49" s="463">
        <x:f t="shared" si="197"/>
        <x:v>0</x:v>
      </x:c>
      <x:c r="T49" s="162" t="str">
        <x:f t="shared" si="198"/>
        <x:v>X</x:v>
      </x:c>
      <x:c r="U49" s="230"/>
      <x:c r="V49" s="224"/>
      <x:c r="W49" s="217"/>
      <x:c r="X49" s="234"/>
      <x:c r="Y49" s="217"/>
      <x:c r="Z49" s="356" t="str">
        <x:f t="shared" si="199"/>
        <x:v/>
      </x:c>
      <x:c r="AA49" s="61"/>
      <x:c r="AB49" s="486" t="str">
        <x:f t="shared" si="200"/>
        <x:v/>
      </x:c>
      <x:c r="AC49" s="487">
        <x:f t="shared" si="201"/>
        <x:v>0</x:v>
      </x:c>
      <x:c r="AD49" s="356" t="str">
        <x:f t="shared" si="3"/>
        <x:v>OK</x:v>
      </x:c>
      <x:c r="AE49" s="8"/>
      <x:c r="AF49" s="502" t="str">
        <x:f t="shared" si="202"/>
        <x:v/>
      </x:c>
      <x:c r="AG49" s="503">
        <x:f t="shared" si="203"/>
        <x:v>0</x:v>
      </x:c>
      <x:c r="AH49" s="381" t="str">
        <x:f t="shared" si="4"/>
        <x:v>OK</x:v>
      </x:c>
      <x:c r="AI49" s="8"/>
      <x:c r="AJ49" s="221" t="str">
        <x:f t="shared" si="204"/>
        <x:v/>
      </x:c>
      <x:c r="AK49" s="356" t="str">
        <x:f t="shared" si="205"/>
        <x:v/>
      </x:c>
      <x:c r="AL49" s="356" t="str">
        <x:f t="shared" si="206"/>
        <x:v/>
      </x:c>
      <x:c r="AM49" s="356" t="str">
        <x:f t="shared" si="207"/>
        <x:v/>
      </x:c>
      <x:c r="AN49" s="356" t="str">
        <x:f>IF($AM49="","",IF($AM49="도비","OK",IF($AJ49="세입없음","OK",IF($AJ49="세입번호입력","@@",IF(VLOOKUP($AJ49,'5. 기입'!$AH$6:$AI$1012,2,FALSE)='5. 기출'!$AM49,"OK","@@")))))</x:f>
        <x:v/>
      </x:c>
    </x:row>
    <x:row r="50" spans="1:40" s="20" customFormat="1" ht="80.099999999999994" customHeight="1">
      <x:c r="A50" s="155" t="str">
        <x:f>IF(D50="","",COUNTA($C$7:C50)-COUNTBLANK($C$7:C50)+11)</x:f>
        <x:v/>
      </x:c>
      <x:c r="B50" s="156" t="str">
        <x: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x:f>
        <x:v/>
      </x:c>
      <x:c r="C50" s="156" t="str">
        <x:f>IF(D50="","",IF(OR(D50="교육지원과",D50="총무과",D50="인사과"),"직접입력",VLOOKUP(D50,구분표!$A$3:$C$258,3,)))</x:f>
        <x:v/>
      </x:c>
      <x:c r="D50" s="226"/>
      <x:c r="E50" s="213"/>
      <x:c r="F50" s="388" t="str">
        <x:f t="shared" si="208"/>
        <x:v/>
      </x:c>
      <x:c r="G50" s="388" t="str">
        <x:f t="shared" si="208"/>
        <x:v/>
      </x:c>
      <x:c r="H50" s="213"/>
      <x:c r="I50" s="156" t="str">
        <x:f>IF(H50="","",VLOOKUP($H50,구분표!$K$3:$M$147,2,FALSE))</x:f>
        <x:v/>
      </x:c>
      <x:c r="J50" s="156" t="str">
        <x:f>IF(I50="","",VLOOKUP($H50,구분표!$K$3:$M$147,3,FALSE))</x:f>
        <x:v/>
      </x:c>
      <x:c r="K50" s="233"/>
      <x:c r="L50" s="233"/>
      <x:c r="M50" s="459" t="str">
        <x:f t="shared" si="209"/>
        <x:v/>
      </x:c>
      <x:c r="N50" s="459" t="str">
        <x:f t="shared" si="210"/>
        <x:v/>
      </x:c>
      <x:c r="O50" s="461" t="str">
        <x:f t="shared" si="195"/>
        <x:v/>
      </x:c>
      <x:c r="P50" s="460"/>
      <x:c r="Q50" s="461">
        <x:f t="shared" si="196"/>
        <x:v>0</x:v>
      </x:c>
      <x:c r="R50" s="462"/>
      <x:c r="S50" s="463">
        <x:f t="shared" si="197"/>
        <x:v>0</x:v>
      </x:c>
      <x:c r="T50" s="162" t="str">
        <x:f t="shared" si="198"/>
        <x:v>X</x:v>
      </x:c>
      <x:c r="U50" s="230"/>
      <x:c r="V50" s="224"/>
      <x:c r="W50" s="217"/>
      <x:c r="X50" s="234"/>
      <x:c r="Y50" s="217"/>
      <x:c r="Z50" s="356" t="str">
        <x:f t="shared" si="199"/>
        <x:v/>
      </x:c>
      <x:c r="AA50" s="61"/>
      <x:c r="AB50" s="486" t="str">
        <x:f t="shared" si="200"/>
        <x:v/>
      </x:c>
      <x:c r="AC50" s="487">
        <x:f t="shared" si="201"/>
        <x:v>0</x:v>
      </x:c>
      <x:c r="AD50" s="356" t="str">
        <x:f t="shared" si="3"/>
        <x:v>OK</x:v>
      </x:c>
      <x:c r="AE50" s="8"/>
      <x:c r="AF50" s="502" t="str">
        <x:f t="shared" si="202"/>
        <x:v/>
      </x:c>
      <x:c r="AG50" s="503">
        <x:f t="shared" si="203"/>
        <x:v>0</x:v>
      </x:c>
      <x:c r="AH50" s="381" t="str">
        <x:f t="shared" si="4"/>
        <x:v>OK</x:v>
      </x:c>
      <x:c r="AI50" s="8"/>
      <x:c r="AJ50" s="221" t="str">
        <x:f t="shared" si="204"/>
        <x:v/>
      </x:c>
      <x:c r="AK50" s="356" t="str">
        <x:f t="shared" si="205"/>
        <x:v/>
      </x:c>
      <x:c r="AL50" s="356" t="str">
        <x:f t="shared" si="206"/>
        <x:v/>
      </x:c>
      <x:c r="AM50" s="356" t="str">
        <x:f t="shared" si="207"/>
        <x:v/>
      </x:c>
      <x:c r="AN50" s="356" t="str">
        <x:f>IF($AM50="","",IF($AM50="도비","OK",IF($AJ50="세입없음","OK",IF($AJ50="세입번호입력","@@",IF(VLOOKUP($AJ50,'5. 기입'!$AH$6:$AI$1012,2,FALSE)='5. 기출'!$AM50,"OK","@@")))))</x:f>
        <x:v/>
      </x:c>
    </x:row>
    <x:row r="51" spans="1:40" ht="60" customHeight="1">
      <x:c r="A51" s="167"/>
      <x:c r="B51" s="888" t="s">
        <x:v>881</x:v>
      </x:c>
      <x:c r="C51" s="888"/>
      <x:c r="D51" s="888"/>
      <x:c r="E51" s="888"/>
      <x:c r="F51" s="888"/>
      <x:c r="G51" s="888"/>
      <x:c r="H51" s="888"/>
      <x:c r="I51" s="888"/>
      <x:c r="J51" s="888"/>
      <x:c r="K51" s="83"/>
      <x:c r="L51" s="363" t="str">
        <x:f>SUBTOTAL(3,L52:L54)&amp;"건"</x:f>
        <x:v>0건</x:v>
      </x:c>
      <x:c r="M51" s="477">
        <x:f t="shared" ref="M51:S51" si="211">SUBTOTAL(9,M52:M54)</x:f>
        <x:v>0</x:v>
      </x:c>
      <x:c r="N51" s="477">
        <x:f t="shared" si="211"/>
        <x:v>0</x:v>
      </x:c>
      <x:c r="O51" s="477">
        <x:f t="shared" si="211"/>
        <x:v>0</x:v>
      </x:c>
      <x:c r="P51" s="477">
        <x:f t="shared" si="211"/>
        <x:v>0</x:v>
      </x:c>
      <x:c r="Q51" s="477">
        <x:f t="shared" si="211"/>
        <x:v>0</x:v>
      </x:c>
      <x:c r="R51" s="477">
        <x:f t="shared" si="211"/>
        <x:v>0</x:v>
      </x:c>
      <x:c r="S51" s="477">
        <x:f t="shared" si="211"/>
        <x:v>0</x:v>
      </x:c>
      <x:c r="T51" s="82"/>
      <x:c r="U51" s="84"/>
      <x:c r="V51" s="84"/>
      <x:c r="W51" s="85"/>
      <x:c r="X51" s="40"/>
      <x:c r="Y51" s="86"/>
      <x:c r="Z51" s="82"/>
      <x:c r="AA51" s="44"/>
      <x:c r="AB51" s="477">
        <x:f t="shared" ref="AB51:AC51" si="212">SUBTOTAL(9,AB52:AB54)</x:f>
        <x:v>0</x:v>
      </x:c>
      <x:c r="AC51" s="477">
        <x:f t="shared" si="212"/>
        <x:v>0</x:v>
      </x:c>
      <x:c r="AD51" s="556" t="str">
        <x:f>IF(COUNTIF(AD52:AD54,"@@")&gt;0,"@@","OK")</x:f>
        <x:v>OK</x:v>
      </x:c>
      <x:c r="AE51" s="53"/>
      <x:c r="AF51" s="477">
        <x:f t="shared" ref="AF51:AG51" si="213">SUBTOTAL(9,AF52:AF54)</x:f>
        <x:v>0</x:v>
      </x:c>
      <x:c r="AG51" s="477">
        <x:f t="shared" si="213"/>
        <x:v>0</x:v>
      </x:c>
      <x:c r="AH51" s="556" t="str">
        <x:f>IF(COUNTIF(AH52:AH54,"@@")&gt;0,"@@","OK")</x:f>
        <x:v>OK</x:v>
      </x:c>
      <x:c r="AI51" s="44"/>
      <x:c r="AJ51" s="81"/>
      <x:c r="AK51" s="81"/>
      <x:c r="AL51" s="556" t="str">
        <x:f>IF(COUNTIF(AL52:AL54,"@@")&gt;0,"@@","OK")</x:f>
        <x:v>OK</x:v>
      </x:c>
      <x:c r="AM51" s="81"/>
      <x:c r="AN51" s="556" t="str">
        <x:f>IF(COUNTIF(AN52:AN54,"@@")&gt;0,"@@","OK")</x:f>
        <x:v>OK</x:v>
      </x:c>
    </x:row>
    <x:row r="52" spans="1:40" s="20" customFormat="1" ht="80.099999999999994" customHeight="1">
      <x:c r="A52" s="155" t="str">
        <x:f>IF(D52="","",COUNTA($C$7:C52)-COUNTBLANK($C$7:C52)+12)</x:f>
        <x:v/>
      </x:c>
      <x:c r="B52" s="156" t="str">
        <x: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x:f>
        <x:v/>
      </x:c>
      <x:c r="C52" s="156" t="str">
        <x:f>IF(D52="","",IF(OR(D52="교육지원과",D52="총무과",D52="인사과"),"직접입력",VLOOKUP(D52,구분표!$A$3:$C$258,3,)))</x:f>
        <x:v/>
      </x:c>
      <x:c r="D52" s="226"/>
      <x:c r="E52" s="213"/>
      <x:c r="F52" s="388" t="str">
        <x:f>IF($E52="","",IF($E52="2추","직접입력","-"))</x:f>
        <x:v/>
      </x:c>
      <x:c r="G52" s="388" t="str">
        <x:f>IF($E52="","",IF($E52="2추","직접입력","-"))</x:f>
        <x:v/>
      </x:c>
      <x:c r="H52" s="213"/>
      <x:c r="I52" s="156" t="str">
        <x:f>IF(H52="","",VLOOKUP($H52,구분표!$K$3:$M$147,2,FALSE))</x:f>
        <x:v/>
      </x:c>
      <x:c r="J52" s="156" t="str">
        <x:f>IF(I52="","",VLOOKUP($H52,구분표!$K$3:$M$147,3,FALSE))</x:f>
        <x:v/>
      </x:c>
      <x:c r="K52" s="233"/>
      <x:c r="L52" s="233"/>
      <x:c r="M52" s="459" t="str">
        <x:f>IF($E52="","",IF(OR($E52="2추",$E52="1추",$E52="본예산"),"금액입력","-"))</x:f>
        <x:v/>
      </x:c>
      <x:c r="N52" s="459" t="str">
        <x:f>IF($E52="","",IF($E52="2추","금액입력","-"))</x:f>
        <x:v/>
      </x:c>
      <x:c r="O52" s="461" t="str">
        <x:f t="shared" ref="O52:O54" si="214">IF($E52="","",SUM(M52:N52))</x:f>
        <x:v/>
      </x:c>
      <x:c r="P52" s="460"/>
      <x:c r="Q52" s="461">
        <x:f t="shared" ref="Q52:Q54" si="215">SUM(O52:P52)</x:f>
        <x:v>0</x:v>
      </x:c>
      <x:c r="R52" s="462"/>
      <x:c r="S52" s="463">
        <x:f t="shared" ref="S52:S54" si="216">SUM(O52,R52)</x:f>
        <x:v>0</x:v>
      </x:c>
      <x:c r="T52" s="162" t="str">
        <x:f t="shared" ref="T52:T54" si="217">IF(AND((Q52=0),(S52&gt;0)),"O",IF(AND((P52&lt;0),(Q52-S52&lt;0)),"O","X"))</x:f>
        <x:v>X</x:v>
      </x:c>
      <x:c r="U52" s="230"/>
      <x:c r="V52" s="224"/>
      <x:c r="W52" s="217"/>
      <x:c r="X52" s="234"/>
      <x:c r="Y52" s="217"/>
      <x:c r="Z52" s="356" t="str">
        <x:f t="shared" ref="Z52:Z54" si="218">IF($K52="","",IF(COUNT(FIND("국비/",$K52)),"국도비",IF(COUNT(FIND("균특/",$K52)),"국도비",IF(COUNT(FIND("기금/",$K52)),"국도비",IF(COUNT(FIND("교부세/",$K52)),"국도비",IF(COUNT(FIND("소방안전/",$K52)),"국도비",IF(COUNT(FIND("소멸대응/",$K52)),"국도비","도비")))))))</x:f>
        <x:v/>
      </x:c>
      <x:c r="AA52" s="61"/>
      <x:c r="AB52" s="486" t="str">
        <x:f t="shared" ref="AB52:AB54" si="219">IF($Z52="","",IF($Z52="국도비","금액입력",0))</x:f>
        <x:v/>
      </x:c>
      <x:c r="AC52" s="487">
        <x:f t="shared" ref="AC52:AC54" si="220">IFERROR(P52-AB52,0)</x:f>
        <x:v>0</x:v>
      </x:c>
      <x:c r="AD52" s="356" t="str">
        <x:f t="shared" si="3"/>
        <x:v>OK</x:v>
      </x:c>
      <x:c r="AE52" s="8"/>
      <x:c r="AF52" s="502" t="str">
        <x:f t="shared" ref="AF52:AF54" si="221">IF($Z52="","",IF($Z52="국도비","금액입력",0))</x:f>
        <x:v/>
      </x:c>
      <x:c r="AG52" s="503">
        <x:f t="shared" ref="AG52:AG54" si="222">IFERROR(R52-AF52,0)</x:f>
        <x:v>0</x:v>
      </x:c>
      <x:c r="AH52" s="381" t="str">
        <x:f t="shared" si="4"/>
        <x:v>OK</x:v>
      </x:c>
      <x:c r="AI52" s="8"/>
      <x:c r="AJ52" s="221" t="str">
        <x:f t="shared" ref="AJ52:AJ54" si="223">IF($Z52="","",IF($Z52="도비","-","세입번호입력"))</x:f>
        <x:v/>
      </x:c>
      <x:c r="AK52" s="356" t="str">
        <x:f t="shared" ref="AK52:AK54" si="224">IF(OR(AJ52="",AJ52="-",AJ52="세입번호입력"),"",COUNTIF($AJ$7:$AJ$1013,AJ52))</x:f>
        <x:v/>
      </x:c>
      <x:c r="AL52" s="356" t="str">
        <x:f t="shared" ref="AL52:AL54" si="225">IF($AJ52="","",IF($Z52="도비","OK",IF(AND($Z52="국도비",$AJ52="세입없음"),"OK",IF(AND($Z52="국도비",$AJ52="세입번호입력"),"@@","OK"))))</x:f>
        <x:v/>
      </x:c>
      <x:c r="AM52" s="356" t="str">
        <x:f t="shared" ref="AM52:AM54" si="226">IF($K52="","",IF(COUNT(FIND("국비/",$K52)),"국비",IF(COUNT(FIND("균특/",$K52)),"균특",IF(COUNT(FIND("기금/",$K52)),"기금",IF(COUNT(FIND("교부세/",$K52)),"특교",IF(COUNT(FIND("소방안전/",$K52)),"소교",IF(COUNT(FIND("소멸대응/",$K52)),"소멸","도비")))))))</x:f>
        <x:v/>
      </x:c>
      <x:c r="AN52" s="356" t="str">
        <x:f>IF($AM52="","",IF($AM52="도비","OK",IF($AJ52="세입없음","OK",IF($AJ52="세입번호입력","@@",IF(VLOOKUP($AJ52,'5. 기입'!$AH$6:$AI$1012,2,FALSE)='5. 기출'!$AM52,"OK","@@")))))</x:f>
        <x:v/>
      </x:c>
    </x:row>
    <x:row r="53" spans="1:40" s="20" customFormat="1" ht="80.099999999999994" customHeight="1">
      <x:c r="A53" s="155" t="str">
        <x:f>IF(D53="","",COUNTA($C$7:C53)-COUNTBLANK($C$7:C53)+12)</x:f>
        <x:v/>
      </x:c>
      <x:c r="B53" s="156" t="str">
        <x: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x:f>
        <x:v/>
      </x:c>
      <x:c r="C53" s="156" t="str">
        <x:f>IF(D53="","",IF(OR(D53="교육지원과",D53="총무과",D53="인사과"),"직접입력",VLOOKUP(D53,구분표!$A$3:$C$258,3,)))</x:f>
        <x:v/>
      </x:c>
      <x:c r="D53" s="226"/>
      <x:c r="E53" s="213"/>
      <x:c r="F53" s="388" t="str">
        <x:f t="shared" ref="F53:G54" si="227">IF($E53="","",IF($E53="2추","직접입력","-"))</x:f>
        <x:v/>
      </x:c>
      <x:c r="G53" s="388" t="str">
        <x:f t="shared" si="227"/>
        <x:v/>
      </x:c>
      <x:c r="H53" s="213"/>
      <x:c r="I53" s="156" t="str">
        <x:f>IF(H53="","",VLOOKUP($H53,구분표!$K$3:$M$147,2,FALSE))</x:f>
        <x:v/>
      </x:c>
      <x:c r="J53" s="156" t="str">
        <x:f>IF(I53="","",VLOOKUP($H53,구분표!$K$3:$M$147,3,FALSE))</x:f>
        <x:v/>
      </x:c>
      <x:c r="K53" s="233"/>
      <x:c r="L53" s="233"/>
      <x:c r="M53" s="459" t="str">
        <x:f t="shared" ref="M53:M54" si="228">IF($E53="","",IF(OR($E53="2추",$E53="1추",$E53="본예산"),"금액입력","-"))</x:f>
        <x:v/>
      </x:c>
      <x:c r="N53" s="459" t="str">
        <x:f t="shared" ref="N53:N54" si="229">IF($E53="","",IF($E53="2추","금액입력","-"))</x:f>
        <x:v/>
      </x:c>
      <x:c r="O53" s="461" t="str">
        <x:f t="shared" si="214"/>
        <x:v/>
      </x:c>
      <x:c r="P53" s="460"/>
      <x:c r="Q53" s="461">
        <x:f t="shared" si="215"/>
        <x:v>0</x:v>
      </x:c>
      <x:c r="R53" s="462"/>
      <x:c r="S53" s="463">
        <x:f t="shared" si="216"/>
        <x:v>0</x:v>
      </x:c>
      <x:c r="T53" s="162" t="str">
        <x:f t="shared" si="217"/>
        <x:v>X</x:v>
      </x:c>
      <x:c r="U53" s="230"/>
      <x:c r="V53" s="224"/>
      <x:c r="W53" s="217"/>
      <x:c r="X53" s="234"/>
      <x:c r="Y53" s="217"/>
      <x:c r="Z53" s="356" t="str">
        <x:f t="shared" si="218"/>
        <x:v/>
      </x:c>
      <x:c r="AA53" s="61"/>
      <x:c r="AB53" s="486" t="str">
        <x:f t="shared" si="219"/>
        <x:v/>
      </x:c>
      <x:c r="AC53" s="487">
        <x:f t="shared" si="220"/>
        <x:v>0</x:v>
      </x:c>
      <x:c r="AD53" s="356" t="str">
        <x:f t="shared" si="3"/>
        <x:v>OK</x:v>
      </x:c>
      <x:c r="AE53" s="8"/>
      <x:c r="AF53" s="502" t="str">
        <x:f t="shared" si="221"/>
        <x:v/>
      </x:c>
      <x:c r="AG53" s="503">
        <x:f t="shared" si="222"/>
        <x:v>0</x:v>
      </x:c>
      <x:c r="AH53" s="381" t="str">
        <x:f t="shared" si="4"/>
        <x:v>OK</x:v>
      </x:c>
      <x:c r="AI53" s="8"/>
      <x:c r="AJ53" s="221" t="str">
        <x:f t="shared" si="223"/>
        <x:v/>
      </x:c>
      <x:c r="AK53" s="356" t="str">
        <x:f t="shared" si="224"/>
        <x:v/>
      </x:c>
      <x:c r="AL53" s="356" t="str">
        <x:f t="shared" si="225"/>
        <x:v/>
      </x:c>
      <x:c r="AM53" s="356" t="str">
        <x:f t="shared" si="226"/>
        <x:v/>
      </x:c>
      <x:c r="AN53" s="356" t="str">
        <x:f>IF($AM53="","",IF($AM53="도비","OK",IF($AJ53="세입없음","OK",IF($AJ53="세입번호입력","@@",IF(VLOOKUP($AJ53,'5. 기입'!$AH$6:$AI$1012,2,FALSE)='5. 기출'!$AM53,"OK","@@")))))</x:f>
        <x:v/>
      </x:c>
    </x:row>
    <x:row r="54" spans="1:40" s="20" customFormat="1" ht="80.099999999999994" customHeight="1">
      <x:c r="A54" s="155" t="str">
        <x:f>IF(D54="","",COUNTA($C$7:C54)-COUNTBLANK($C$7:C54)+12)</x:f>
        <x:v/>
      </x:c>
      <x:c r="B54" s="156" t="str">
        <x: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x:f>
        <x:v/>
      </x:c>
      <x:c r="C54" s="156" t="str">
        <x:f>IF(D54="","",IF(OR(D54="교육지원과",D54="총무과",D54="인사과"),"직접입력",VLOOKUP(D54,구분표!$A$3:$C$258,3,)))</x:f>
        <x:v/>
      </x:c>
      <x:c r="D54" s="226"/>
      <x:c r="E54" s="213"/>
      <x:c r="F54" s="388" t="str">
        <x:f t="shared" si="227"/>
        <x:v/>
      </x:c>
      <x:c r="G54" s="388" t="str">
        <x:f t="shared" si="227"/>
        <x:v/>
      </x:c>
      <x:c r="H54" s="213"/>
      <x:c r="I54" s="156" t="str">
        <x:f>IF(H54="","",VLOOKUP($H54,구분표!$K$3:$M$147,2,FALSE))</x:f>
        <x:v/>
      </x:c>
      <x:c r="J54" s="156" t="str">
        <x:f>IF(I54="","",VLOOKUP($H54,구분표!$K$3:$M$147,3,FALSE))</x:f>
        <x:v/>
      </x:c>
      <x:c r="K54" s="233"/>
      <x:c r="L54" s="233"/>
      <x:c r="M54" s="459" t="str">
        <x:f t="shared" si="228"/>
        <x:v/>
      </x:c>
      <x:c r="N54" s="459" t="str">
        <x:f t="shared" si="229"/>
        <x:v/>
      </x:c>
      <x:c r="O54" s="461" t="str">
        <x:f t="shared" si="214"/>
        <x:v/>
      </x:c>
      <x:c r="P54" s="460"/>
      <x:c r="Q54" s="461">
        <x:f t="shared" si="215"/>
        <x:v>0</x:v>
      </x:c>
      <x:c r="R54" s="462"/>
      <x:c r="S54" s="463">
        <x:f t="shared" si="216"/>
        <x:v>0</x:v>
      </x:c>
      <x:c r="T54" s="162" t="str">
        <x:f t="shared" si="217"/>
        <x:v>X</x:v>
      </x:c>
      <x:c r="U54" s="230"/>
      <x:c r="V54" s="224"/>
      <x:c r="W54" s="217"/>
      <x:c r="X54" s="234"/>
      <x:c r="Y54" s="217"/>
      <x:c r="Z54" s="356" t="str">
        <x:f t="shared" si="218"/>
        <x:v/>
      </x:c>
      <x:c r="AA54" s="61"/>
      <x:c r="AB54" s="486" t="str">
        <x:f t="shared" si="219"/>
        <x:v/>
      </x:c>
      <x:c r="AC54" s="487">
        <x:f t="shared" si="220"/>
        <x:v>0</x:v>
      </x:c>
      <x:c r="AD54" s="356" t="str">
        <x:f t="shared" si="3"/>
        <x:v>OK</x:v>
      </x:c>
      <x:c r="AE54" s="8"/>
      <x:c r="AF54" s="502" t="str">
        <x:f t="shared" si="221"/>
        <x:v/>
      </x:c>
      <x:c r="AG54" s="503">
        <x:f t="shared" si="222"/>
        <x:v>0</x:v>
      </x:c>
      <x:c r="AH54" s="381" t="str">
        <x:f t="shared" si="4"/>
        <x:v>OK</x:v>
      </x:c>
      <x:c r="AI54" s="8"/>
      <x:c r="AJ54" s="221" t="str">
        <x:f t="shared" si="223"/>
        <x:v/>
      </x:c>
      <x:c r="AK54" s="356" t="str">
        <x:f t="shared" si="224"/>
        <x:v/>
      </x:c>
      <x:c r="AL54" s="356" t="str">
        <x:f t="shared" si="225"/>
        <x:v/>
      </x:c>
      <x:c r="AM54" s="356" t="str">
        <x:f t="shared" si="226"/>
        <x:v/>
      </x:c>
      <x:c r="AN54" s="356" t="str">
        <x:f>IF($AM54="","",IF($AM54="도비","OK",IF($AJ54="세입없음","OK",IF($AJ54="세입번호입력","@@",IF(VLOOKUP($AJ54,'5. 기입'!$AH$6:$AI$1012,2,FALSE)='5. 기출'!$AM54,"OK","@@")))))</x:f>
        <x:v/>
      </x:c>
    </x:row>
    <x:row r="55" spans="1:40" ht="60" customHeight="1">
      <x:c r="A55" s="167"/>
      <x:c r="B55" s="888" t="s">
        <x:v>860</x:v>
      </x:c>
      <x:c r="C55" s="888"/>
      <x:c r="D55" s="888"/>
      <x:c r="E55" s="888"/>
      <x:c r="F55" s="888"/>
      <x:c r="G55" s="888"/>
      <x:c r="H55" s="888"/>
      <x:c r="I55" s="888"/>
      <x:c r="J55" s="888"/>
      <x:c r="K55" s="83"/>
      <x:c r="L55" s="363" t="str">
        <x:f>SUBTOTAL(3,L56:L58)&amp;"건"</x:f>
        <x:v>0건</x:v>
      </x:c>
      <x:c r="M55" s="477">
        <x:f t="shared" ref="M55:S55" si="230">SUBTOTAL(9,M56:M58)</x:f>
        <x:v>0</x:v>
      </x:c>
      <x:c r="N55" s="477">
        <x:f t="shared" si="230"/>
        <x:v>0</x:v>
      </x:c>
      <x:c r="O55" s="477">
        <x:f t="shared" si="230"/>
        <x:v>0</x:v>
      </x:c>
      <x:c r="P55" s="477">
        <x:f t="shared" si="230"/>
        <x:v>0</x:v>
      </x:c>
      <x:c r="Q55" s="477">
        <x:f t="shared" si="230"/>
        <x:v>0</x:v>
      </x:c>
      <x:c r="R55" s="477">
        <x:f t="shared" si="230"/>
        <x:v>0</x:v>
      </x:c>
      <x:c r="S55" s="477">
        <x:f t="shared" si="230"/>
        <x:v>0</x:v>
      </x:c>
      <x:c r="T55" s="82"/>
      <x:c r="U55" s="84"/>
      <x:c r="V55" s="84"/>
      <x:c r="W55" s="85"/>
      <x:c r="X55" s="40"/>
      <x:c r="Y55" s="86"/>
      <x:c r="Z55" s="82"/>
      <x:c r="AA55" s="44"/>
      <x:c r="AB55" s="477">
        <x:f t="shared" ref="AB55:AC55" si="231">SUBTOTAL(9,AB56:AB58)</x:f>
        <x:v>0</x:v>
      </x:c>
      <x:c r="AC55" s="477">
        <x:f t="shared" si="231"/>
        <x:v>0</x:v>
      </x:c>
      <x:c r="AD55" s="556" t="str">
        <x:f>IF(COUNTIF(AD56:AD58,"@@")&gt;0,"@@","OK")</x:f>
        <x:v>OK</x:v>
      </x:c>
      <x:c r="AE55" s="53"/>
      <x:c r="AF55" s="477">
        <x:f t="shared" ref="AF55:AG55" si="232">SUBTOTAL(9,AF56:AF58)</x:f>
        <x:v>0</x:v>
      </x:c>
      <x:c r="AG55" s="477">
        <x:f t="shared" si="232"/>
        <x:v>0</x:v>
      </x:c>
      <x:c r="AH55" s="556" t="str">
        <x:f>IF(COUNTIF(AH56:AH58,"@@")&gt;0,"@@","OK")</x:f>
        <x:v>OK</x:v>
      </x:c>
      <x:c r="AI55" s="44"/>
      <x:c r="AJ55" s="81"/>
      <x:c r="AK55" s="81"/>
      <x:c r="AL55" s="556" t="str">
        <x:f>IF(COUNTIF(AL56:AL58,"@@")&gt;0,"@@","OK")</x:f>
        <x:v>OK</x:v>
      </x:c>
      <x:c r="AM55" s="81"/>
      <x:c r="AN55" s="556" t="str">
        <x:f>IF(COUNTIF(AN56:AN58,"@@")&gt;0,"@@","OK")</x:f>
        <x:v>OK</x:v>
      </x:c>
    </x:row>
    <x:row r="56" spans="1:40" s="20" customFormat="1" ht="80.099999999999994" customHeight="1">
      <x:c r="A56" s="155" t="str">
        <x:f>IF(D56="","",COUNTA($C$7:C56)-COUNTBLANK($C$7:C56)+13)</x:f>
        <x:v/>
      </x:c>
      <x:c r="B56" s="156" t="str">
        <x: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x:f>
        <x:v/>
      </x:c>
      <x:c r="C56" s="156" t="str">
        <x:f>IF(D56="","",IF(OR(D56="교육지원과",D56="총무과",D56="인사과"),"직접입력",VLOOKUP(D56,구분표!$A$3:$C$258,3,)))</x:f>
        <x:v/>
      </x:c>
      <x:c r="D56" s="226"/>
      <x:c r="E56" s="213"/>
      <x:c r="F56" s="388" t="str">
        <x:f>IF($E56="","",IF($E56="2추","직접입력","-"))</x:f>
        <x:v/>
      </x:c>
      <x:c r="G56" s="388" t="str">
        <x:f>IF($E56="","",IF($E56="2추","직접입력","-"))</x:f>
        <x:v/>
      </x:c>
      <x:c r="H56" s="213"/>
      <x:c r="I56" s="156" t="str">
        <x:f>IF(H56="","",VLOOKUP($H56,구분표!$K$3:$M$147,2,FALSE))</x:f>
        <x:v/>
      </x:c>
      <x:c r="J56" s="156" t="str">
        <x:f>IF(I56="","",VLOOKUP($H56,구분표!$K$3:$M$147,3,FALSE))</x:f>
        <x:v/>
      </x:c>
      <x:c r="K56" s="233"/>
      <x:c r="L56" s="233"/>
      <x:c r="M56" s="459" t="str">
        <x:f>IF($E56="","",IF(OR($E56="2추",$E56="1추",$E56="본예산"),"금액입력","-"))</x:f>
        <x:v/>
      </x:c>
      <x:c r="N56" s="459" t="str">
        <x:f>IF($E56="","",IF($E56="2추","금액입력","-"))</x:f>
        <x:v/>
      </x:c>
      <x:c r="O56" s="461" t="str">
        <x:f t="shared" ref="O56:O58" si="233">IF($E56="","",SUM(M56:N56))</x:f>
        <x:v/>
      </x:c>
      <x:c r="P56" s="460"/>
      <x:c r="Q56" s="461">
        <x:f t="shared" ref="Q56:Q58" si="234">SUM(O56:P56)</x:f>
        <x:v>0</x:v>
      </x:c>
      <x:c r="R56" s="462"/>
      <x:c r="S56" s="463">
        <x:f t="shared" ref="S56:S58" si="235">SUM(O56,R56)</x:f>
        <x:v>0</x:v>
      </x:c>
      <x:c r="T56" s="162" t="str">
        <x:f t="shared" ref="T56:T58" si="236">IF(AND((Q56=0),(S56&gt;0)),"O",IF(AND((P56&lt;0),(Q56-S56&lt;0)),"O","X"))</x:f>
        <x:v>X</x:v>
      </x:c>
      <x:c r="U56" s="230"/>
      <x:c r="V56" s="224"/>
      <x:c r="W56" s="217"/>
      <x:c r="X56" s="234"/>
      <x:c r="Y56" s="217"/>
      <x:c r="Z56" s="356" t="str">
        <x:f t="shared" ref="Z56:Z58" si="237">IF($K56="","",IF(COUNT(FIND("국비/",$K56)),"국도비",IF(COUNT(FIND("균특/",$K56)),"국도비",IF(COUNT(FIND("기금/",$K56)),"국도비",IF(COUNT(FIND("교부세/",$K56)),"국도비",IF(COUNT(FIND("소방안전/",$K56)),"국도비",IF(COUNT(FIND("소멸대응/",$K56)),"국도비","도비")))))))</x:f>
        <x:v/>
      </x:c>
      <x:c r="AA56" s="61"/>
      <x:c r="AB56" s="486" t="str">
        <x:f t="shared" ref="AB56:AB58" si="238">IF($Z56="","",IF($Z56="국도비","금액입력",0))</x:f>
        <x:v/>
      </x:c>
      <x:c r="AC56" s="487">
        <x:f t="shared" ref="AC56:AC58" si="239">IFERROR(P56-AB56,0)</x:f>
        <x:v>0</x:v>
      </x:c>
      <x:c r="AD56" s="356" t="str">
        <x:f t="shared" si="3"/>
        <x:v>OK</x:v>
      </x:c>
      <x:c r="AE56" s="8"/>
      <x:c r="AF56" s="502" t="str">
        <x:f t="shared" ref="AF56:AF58" si="240">IF($Z56="","",IF($Z56="국도비","금액입력",0))</x:f>
        <x:v/>
      </x:c>
      <x:c r="AG56" s="503">
        <x:f t="shared" ref="AG56:AG58" si="241">IFERROR(R56-AF56,0)</x:f>
        <x:v>0</x:v>
      </x:c>
      <x:c r="AH56" s="381" t="str">
        <x:f t="shared" si="4"/>
        <x:v>OK</x:v>
      </x:c>
      <x:c r="AI56" s="8"/>
      <x:c r="AJ56" s="221" t="str">
        <x:f t="shared" ref="AJ56:AJ58" si="242">IF($Z56="","",IF($Z56="도비","-","세입번호입력"))</x:f>
        <x:v/>
      </x:c>
      <x:c r="AK56" s="356" t="str">
        <x:f t="shared" ref="AK56:AK58" si="243">IF(OR(AJ56="",AJ56="-",AJ56="세입번호입력"),"",COUNTIF($AJ$7:$AJ$1013,AJ56))</x:f>
        <x:v/>
      </x:c>
      <x:c r="AL56" s="356" t="str">
        <x:f t="shared" ref="AL56:AL58" si="244">IF($AJ56="","",IF($Z56="도비","OK",IF(AND($Z56="국도비",$AJ56="세입없음"),"OK",IF(AND($Z56="국도비",$AJ56="세입번호입력"),"@@","OK"))))</x:f>
        <x:v/>
      </x:c>
      <x:c r="AM56" s="356" t="str">
        <x:f t="shared" ref="AM56:AM58" si="245">IF($K56="","",IF(COUNT(FIND("국비/",$K56)),"국비",IF(COUNT(FIND("균특/",$K56)),"균특",IF(COUNT(FIND("기금/",$K56)),"기금",IF(COUNT(FIND("교부세/",$K56)),"특교",IF(COUNT(FIND("소방안전/",$K56)),"소교",IF(COUNT(FIND("소멸대응/",$K56)),"소멸","도비")))))))</x:f>
        <x:v/>
      </x:c>
      <x:c r="AN56" s="356" t="str">
        <x:f>IF($AM56="","",IF($AM56="도비","OK",IF($AJ56="세입없음","OK",IF($AJ56="세입번호입력","@@",IF(VLOOKUP($AJ56,'5. 기입'!$AH$6:$AI$1012,2,FALSE)='5. 기출'!$AM56,"OK","@@")))))</x:f>
        <x:v/>
      </x:c>
    </x:row>
    <x:row r="57" spans="1:40" s="20" customFormat="1" ht="80.099999999999994" customHeight="1">
      <x:c r="A57" s="155" t="str">
        <x:f>IF(D57="","",COUNTA($C$7:C57)-COUNTBLANK($C$7:C57)+13)</x:f>
        <x:v/>
      </x:c>
      <x:c r="B57" s="156" t="str">
        <x: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x:f>
        <x:v/>
      </x:c>
      <x:c r="C57" s="156" t="str">
        <x:f>IF(D57="","",IF(OR(D57="교육지원과",D57="총무과",D57="인사과"),"직접입력",VLOOKUP(D57,구분표!$A$3:$C$258,3,)))</x:f>
        <x:v/>
      </x:c>
      <x:c r="D57" s="226"/>
      <x:c r="E57" s="213"/>
      <x:c r="F57" s="388" t="str">
        <x:f t="shared" ref="F57:G58" si="246">IF($E57="","",IF($E57="2추","직접입력","-"))</x:f>
        <x:v/>
      </x:c>
      <x:c r="G57" s="388" t="str">
        <x:f t="shared" si="246"/>
        <x:v/>
      </x:c>
      <x:c r="H57" s="213"/>
      <x:c r="I57" s="156" t="str">
        <x:f>IF(H57="","",VLOOKUP($H57,구분표!$K$3:$M$147,2,FALSE))</x:f>
        <x:v/>
      </x:c>
      <x:c r="J57" s="156" t="str">
        <x:f>IF(I57="","",VLOOKUP($H57,구분표!$K$3:$M$147,3,FALSE))</x:f>
        <x:v/>
      </x:c>
      <x:c r="K57" s="233"/>
      <x:c r="L57" s="233"/>
      <x:c r="M57" s="459" t="str">
        <x:f t="shared" ref="M57:M58" si="247">IF($E57="","",IF(OR($E57="2추",$E57="1추",$E57="본예산"),"금액입력","-"))</x:f>
        <x:v/>
      </x:c>
      <x:c r="N57" s="459" t="str">
        <x:f t="shared" ref="N57:N58" si="248">IF($E57="","",IF($E57="2추","금액입력","-"))</x:f>
        <x:v/>
      </x:c>
      <x:c r="O57" s="461" t="str">
        <x:f t="shared" si="233"/>
        <x:v/>
      </x:c>
      <x:c r="P57" s="460"/>
      <x:c r="Q57" s="461">
        <x:f t="shared" si="234"/>
        <x:v>0</x:v>
      </x:c>
      <x:c r="R57" s="462"/>
      <x:c r="S57" s="463">
        <x:f t="shared" si="235"/>
        <x:v>0</x:v>
      </x:c>
      <x:c r="T57" s="162" t="str">
        <x:f t="shared" si="236"/>
        <x:v>X</x:v>
      </x:c>
      <x:c r="U57" s="230"/>
      <x:c r="V57" s="224"/>
      <x:c r="W57" s="217"/>
      <x:c r="X57" s="234"/>
      <x:c r="Y57" s="217"/>
      <x:c r="Z57" s="356" t="str">
        <x:f t="shared" si="237"/>
        <x:v/>
      </x:c>
      <x:c r="AA57" s="61"/>
      <x:c r="AB57" s="486" t="str">
        <x:f t="shared" si="238"/>
        <x:v/>
      </x:c>
      <x:c r="AC57" s="487">
        <x:f t="shared" si="239"/>
        <x:v>0</x:v>
      </x:c>
      <x:c r="AD57" s="356" t="str">
        <x:f t="shared" si="3"/>
        <x:v>OK</x:v>
      </x:c>
      <x:c r="AE57" s="8"/>
      <x:c r="AF57" s="502" t="str">
        <x:f t="shared" si="240"/>
        <x:v/>
      </x:c>
      <x:c r="AG57" s="503">
        <x:f t="shared" si="241"/>
        <x:v>0</x:v>
      </x:c>
      <x:c r="AH57" s="381" t="str">
        <x:f t="shared" si="4"/>
        <x:v>OK</x:v>
      </x:c>
      <x:c r="AI57" s="8"/>
      <x:c r="AJ57" s="221" t="str">
        <x:f t="shared" si="242"/>
        <x:v/>
      </x:c>
      <x:c r="AK57" s="356" t="str">
        <x:f t="shared" si="243"/>
        <x:v/>
      </x:c>
      <x:c r="AL57" s="356" t="str">
        <x:f t="shared" si="244"/>
        <x:v/>
      </x:c>
      <x:c r="AM57" s="356" t="str">
        <x:f t="shared" si="245"/>
        <x:v/>
      </x:c>
      <x:c r="AN57" s="356" t="str">
        <x:f>IF($AM57="","",IF($AM57="도비","OK",IF($AJ57="세입없음","OK",IF($AJ57="세입번호입력","@@",IF(VLOOKUP($AJ57,'5. 기입'!$AH$6:$AI$1012,2,FALSE)='5. 기출'!$AM57,"OK","@@")))))</x:f>
        <x:v/>
      </x:c>
    </x:row>
    <x:row r="58" spans="1:40" s="20" customFormat="1" ht="80.099999999999994" customHeight="1">
      <x:c r="A58" s="155" t="str">
        <x:f>IF(D58="","",COUNTA($C$7:C58)-COUNTBLANK($C$7:C58)+13)</x:f>
        <x:v/>
      </x:c>
      <x:c r="B58" s="156" t="str">
        <x: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x:f>
        <x:v/>
      </x:c>
      <x:c r="C58" s="156" t="str">
        <x:f>IF(D58="","",IF(OR(D58="교육지원과",D58="총무과",D58="인사과"),"직접입력",VLOOKUP(D58,구분표!$A$3:$C$258,3,)))</x:f>
        <x:v/>
      </x:c>
      <x:c r="D58" s="226"/>
      <x:c r="E58" s="213"/>
      <x:c r="F58" s="388" t="str">
        <x:f t="shared" si="246"/>
        <x:v/>
      </x:c>
      <x:c r="G58" s="388" t="str">
        <x:f t="shared" si="246"/>
        <x:v/>
      </x:c>
      <x:c r="H58" s="213"/>
      <x:c r="I58" s="156" t="str">
        <x:f>IF(H58="","",VLOOKUP($H58,구분표!$K$3:$M$147,2,FALSE))</x:f>
        <x:v/>
      </x:c>
      <x:c r="J58" s="156" t="str">
        <x:f>IF(I58="","",VLOOKUP($H58,구분표!$K$3:$M$147,3,FALSE))</x:f>
        <x:v/>
      </x:c>
      <x:c r="K58" s="233"/>
      <x:c r="L58" s="233"/>
      <x:c r="M58" s="459" t="str">
        <x:f t="shared" si="247"/>
        <x:v/>
      </x:c>
      <x:c r="N58" s="459" t="str">
        <x:f t="shared" si="248"/>
        <x:v/>
      </x:c>
      <x:c r="O58" s="461" t="str">
        <x:f t="shared" si="233"/>
        <x:v/>
      </x:c>
      <x:c r="P58" s="460"/>
      <x:c r="Q58" s="461">
        <x:f t="shared" si="234"/>
        <x:v>0</x:v>
      </x:c>
      <x:c r="R58" s="462"/>
      <x:c r="S58" s="463">
        <x:f t="shared" si="235"/>
        <x:v>0</x:v>
      </x:c>
      <x:c r="T58" s="162" t="str">
        <x:f t="shared" si="236"/>
        <x:v>X</x:v>
      </x:c>
      <x:c r="U58" s="230"/>
      <x:c r="V58" s="224"/>
      <x:c r="W58" s="217"/>
      <x:c r="X58" s="234"/>
      <x:c r="Y58" s="217"/>
      <x:c r="Z58" s="356" t="str">
        <x:f t="shared" si="237"/>
        <x:v/>
      </x:c>
      <x:c r="AA58" s="61"/>
      <x:c r="AB58" s="486" t="str">
        <x:f t="shared" si="238"/>
        <x:v/>
      </x:c>
      <x:c r="AC58" s="487">
        <x:f t="shared" si="239"/>
        <x:v>0</x:v>
      </x:c>
      <x:c r="AD58" s="356" t="str">
        <x:f t="shared" si="3"/>
        <x:v>OK</x:v>
      </x:c>
      <x:c r="AE58" s="8"/>
      <x:c r="AF58" s="502" t="str">
        <x:f t="shared" si="240"/>
        <x:v/>
      </x:c>
      <x:c r="AG58" s="503">
        <x:f t="shared" si="241"/>
        <x:v>0</x:v>
      </x:c>
      <x:c r="AH58" s="381" t="str">
        <x:f t="shared" si="4"/>
        <x:v>OK</x:v>
      </x:c>
      <x:c r="AI58" s="8"/>
      <x:c r="AJ58" s="221" t="str">
        <x:f t="shared" si="242"/>
        <x:v/>
      </x:c>
      <x:c r="AK58" s="356" t="str">
        <x:f t="shared" si="243"/>
        <x:v/>
      </x:c>
      <x:c r="AL58" s="356" t="str">
        <x:f t="shared" si="244"/>
        <x:v/>
      </x:c>
      <x:c r="AM58" s="356" t="str">
        <x:f t="shared" si="245"/>
        <x:v/>
      </x:c>
      <x:c r="AN58" s="356" t="str">
        <x:f>IF($AM58="","",IF($AM58="도비","OK",IF($AJ58="세입없음","OK",IF($AJ58="세입번호입력","@@",IF(VLOOKUP($AJ58,'5. 기입'!$AH$6:$AI$1012,2,FALSE)='5. 기출'!$AM58,"OK","@@")))))</x:f>
        <x:v/>
      </x:c>
    </x:row>
    <x:row r="59" spans="1:40" ht="60" customHeight="1">
      <x:c r="A59" s="167"/>
      <x:c r="B59" s="888" t="s">
        <x:v>1453</x:v>
      </x:c>
      <x:c r="C59" s="888"/>
      <x:c r="D59" s="888"/>
      <x:c r="E59" s="888"/>
      <x:c r="F59" s="888"/>
      <x:c r="G59" s="888"/>
      <x:c r="H59" s="888"/>
      <x:c r="I59" s="888"/>
      <x:c r="J59" s="888"/>
      <x:c r="K59" s="83"/>
      <x:c r="L59" s="363" t="str">
        <x:f>SUBTOTAL(3,L60:L62)&amp;"건"</x:f>
        <x:v>0건</x:v>
      </x:c>
      <x:c r="M59" s="477">
        <x:f t="shared" ref="M59:S59" si="249">SUBTOTAL(9,M60:M62)</x:f>
        <x:v>0</x:v>
      </x:c>
      <x:c r="N59" s="477">
        <x:f t="shared" si="249"/>
        <x:v>0</x:v>
      </x:c>
      <x:c r="O59" s="477">
        <x:f t="shared" si="249"/>
        <x:v>0</x:v>
      </x:c>
      <x:c r="P59" s="477">
        <x:f t="shared" si="249"/>
        <x:v>0</x:v>
      </x:c>
      <x:c r="Q59" s="477">
        <x:f t="shared" si="249"/>
        <x:v>0</x:v>
      </x:c>
      <x:c r="R59" s="477">
        <x:f t="shared" si="249"/>
        <x:v>0</x:v>
      </x:c>
      <x:c r="S59" s="477">
        <x:f t="shared" si="249"/>
        <x:v>0</x:v>
      </x:c>
      <x:c r="T59" s="82"/>
      <x:c r="U59" s="84"/>
      <x:c r="V59" s="84"/>
      <x:c r="W59" s="85"/>
      <x:c r="X59" s="40"/>
      <x:c r="Y59" s="86"/>
      <x:c r="Z59" s="82"/>
      <x:c r="AA59" s="44"/>
      <x:c r="AB59" s="477">
        <x:f t="shared" ref="AB59:AC59" si="250">SUBTOTAL(9,AB60:AB62)</x:f>
        <x:v>0</x:v>
      </x:c>
      <x:c r="AC59" s="477">
        <x:f t="shared" si="250"/>
        <x:v>0</x:v>
      </x:c>
      <x:c r="AD59" s="556" t="str">
        <x:f>IF(COUNTIF(AD60:AD62,"@@")&gt;0,"@@","OK")</x:f>
        <x:v>OK</x:v>
      </x:c>
      <x:c r="AE59" s="53"/>
      <x:c r="AF59" s="477">
        <x:f t="shared" ref="AF59:AG59" si="251">SUBTOTAL(9,AF60:AF62)</x:f>
        <x:v>0</x:v>
      </x:c>
      <x:c r="AG59" s="477">
        <x:f t="shared" si="251"/>
        <x:v>0</x:v>
      </x:c>
      <x:c r="AH59" s="556" t="str">
        <x:f>IF(COUNTIF(AH60:AH62,"@@")&gt;0,"@@","OK")</x:f>
        <x:v>OK</x:v>
      </x:c>
      <x:c r="AI59" s="44"/>
      <x:c r="AJ59" s="81"/>
      <x:c r="AK59" s="81"/>
      <x:c r="AL59" s="556" t="str">
        <x:f>IF(COUNTIF(AL60:AL62,"@@")&gt;0,"@@","OK")</x:f>
        <x:v>OK</x:v>
      </x:c>
      <x:c r="AM59" s="81"/>
      <x:c r="AN59" s="556" t="str">
        <x:f>IF(COUNTIF(AN60:AN62,"@@")&gt;0,"@@","OK")</x:f>
        <x:v>OK</x:v>
      </x:c>
    </x:row>
    <x:row r="60" spans="1:40" s="20" customFormat="1" ht="80.099999999999994" customHeight="1">
      <x:c r="A60" s="155" t="str">
        <x:f>IF(D60="","",COUNTA($C$7:C60)-COUNTBLANK($C$7:C60)+14)</x:f>
        <x:v/>
      </x:c>
      <x:c r="B60" s="156" t="str">
        <x: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x:f>
        <x:v/>
      </x:c>
      <x:c r="C60" s="156" t="str">
        <x:f>IF(D60="","",IF(OR(D60="교육지원과",D60="총무과",D60="인사과"),"직접입력",VLOOKUP(D60,구분표!$A$3:$C$258,3,)))</x:f>
        <x:v/>
      </x:c>
      <x:c r="D60" s="226"/>
      <x:c r="E60" s="213"/>
      <x:c r="F60" s="388" t="str">
        <x:f>IF($E60="","",IF($E60="2추","직접입력","-"))</x:f>
        <x:v/>
      </x:c>
      <x:c r="G60" s="388" t="str">
        <x:f>IF($E60="","",IF($E60="2추","직접입력","-"))</x:f>
        <x:v/>
      </x:c>
      <x:c r="H60" s="213"/>
      <x:c r="I60" s="156" t="str">
        <x:f>IF(H60="","",VLOOKUP($H60,구분표!$K$3:$M$147,2,FALSE))</x:f>
        <x:v/>
      </x:c>
      <x:c r="J60" s="156" t="str">
        <x:f>IF(I60="","",VLOOKUP($H60,구분표!$K$3:$M$147,3,FALSE))</x:f>
        <x:v/>
      </x:c>
      <x:c r="K60" s="233"/>
      <x:c r="L60" s="233"/>
      <x:c r="M60" s="459" t="str">
        <x:f>IF($E60="","",IF(OR($E60="2추",$E60="1추",$E60="본예산"),"금액입력","-"))</x:f>
        <x:v/>
      </x:c>
      <x:c r="N60" s="459" t="str">
        <x:f>IF($E60="","",IF($E60="2추","금액입력","-"))</x:f>
        <x:v/>
      </x:c>
      <x:c r="O60" s="461" t="str">
        <x:f t="shared" ref="O60:O62" si="252">IF($E60="","",SUM(M60:N60))</x:f>
        <x:v/>
      </x:c>
      <x:c r="P60" s="460"/>
      <x:c r="Q60" s="461">
        <x:f t="shared" ref="Q60:Q62" si="253">SUM(O60:P60)</x:f>
        <x:v>0</x:v>
      </x:c>
      <x:c r="R60" s="462"/>
      <x:c r="S60" s="463">
        <x:f t="shared" ref="S60:S62" si="254">SUM(O60,R60)</x:f>
        <x:v>0</x:v>
      </x:c>
      <x:c r="T60" s="162" t="str">
        <x:f t="shared" ref="T60:T62" si="255">IF(AND((Q60=0),(S60&gt;0)),"O",IF(AND((P60&lt;0),(Q60-S60&lt;0)),"O","X"))</x:f>
        <x:v>X</x:v>
      </x:c>
      <x:c r="U60" s="230"/>
      <x:c r="V60" s="224"/>
      <x:c r="W60" s="217"/>
      <x:c r="X60" s="234"/>
      <x:c r="Y60" s="217"/>
      <x:c r="Z60" s="356" t="str">
        <x:f t="shared" ref="Z60:Z62" si="256">IF($K60="","",IF(COUNT(FIND("국비/",$K60)),"국도비",IF(COUNT(FIND("균특/",$K60)),"국도비",IF(COUNT(FIND("기금/",$K60)),"국도비",IF(COUNT(FIND("교부세/",$K60)),"국도비",IF(COUNT(FIND("소방안전/",$K60)),"국도비",IF(COUNT(FIND("소멸대응/",$K60)),"국도비","도비")))))))</x:f>
        <x:v/>
      </x:c>
      <x:c r="AA60" s="61"/>
      <x:c r="AB60" s="486" t="str">
        <x:f t="shared" ref="AB60:AB62" si="257">IF($Z60="","",IF($Z60="국도비","금액입력",0))</x:f>
        <x:v/>
      </x:c>
      <x:c r="AC60" s="487">
        <x:f t="shared" ref="AC60:AC62" si="258">IFERROR(P60-AB60,0)</x:f>
        <x:v>0</x:v>
      </x:c>
      <x:c r="AD60" s="356" t="str">
        <x:f t="shared" si="3"/>
        <x:v>OK</x:v>
      </x:c>
      <x:c r="AE60" s="8"/>
      <x:c r="AF60" s="502" t="str">
        <x:f t="shared" ref="AF60:AF62" si="259">IF($Z60="","",IF($Z60="국도비","금액입력",0))</x:f>
        <x:v/>
      </x:c>
      <x:c r="AG60" s="503">
        <x:f t="shared" ref="AG60:AG62" si="260">IFERROR(R60-AF60,0)</x:f>
        <x:v>0</x:v>
      </x:c>
      <x:c r="AH60" s="381" t="str">
        <x:f t="shared" si="4"/>
        <x:v>OK</x:v>
      </x:c>
      <x:c r="AI60" s="8"/>
      <x:c r="AJ60" s="221" t="str">
        <x:f t="shared" ref="AJ60:AJ62" si="261">IF($Z60="","",IF($Z60="도비","-","세입번호입력"))</x:f>
        <x:v/>
      </x:c>
      <x:c r="AK60" s="356" t="str">
        <x:f t="shared" ref="AK60:AK62" si="262">IF(OR(AJ60="",AJ60="-",AJ60="세입번호입력"),"",COUNTIF($AJ$7:$AJ$1013,AJ60))</x:f>
        <x:v/>
      </x:c>
      <x:c r="AL60" s="356" t="str">
        <x:f t="shared" ref="AL60:AL62" si="263">IF($AJ60="","",IF($Z60="도비","OK",IF(AND($Z60="국도비",$AJ60="세입없음"),"OK",IF(AND($Z60="국도비",$AJ60="세입번호입력"),"@@","OK"))))</x:f>
        <x:v/>
      </x:c>
      <x:c r="AM60" s="356" t="str">
        <x:f t="shared" ref="AM60:AM62" si="264">IF($K60="","",IF(COUNT(FIND("국비/",$K60)),"국비",IF(COUNT(FIND("균특/",$K60)),"균특",IF(COUNT(FIND("기금/",$K60)),"기금",IF(COUNT(FIND("교부세/",$K60)),"특교",IF(COUNT(FIND("소방안전/",$K60)),"소교",IF(COUNT(FIND("소멸대응/",$K60)),"소멸","도비")))))))</x:f>
        <x:v/>
      </x:c>
      <x:c r="AN60" s="356" t="str">
        <x:f>IF($AM60="","",IF($AM60="도비","OK",IF($AJ60="세입없음","OK",IF($AJ60="세입번호입력","@@",IF(VLOOKUP($AJ60,'5. 기입'!$AH$6:$AI$1012,2,FALSE)='5. 기출'!$AM60,"OK","@@")))))</x:f>
        <x:v/>
      </x:c>
    </x:row>
    <x:row r="61" spans="1:40" s="20" customFormat="1" ht="80.099999999999994" customHeight="1">
      <x:c r="A61" s="155" t="str">
        <x:f>IF(D61="","",COUNTA($C$7:C61)-COUNTBLANK($C$7:C61)+14)</x:f>
        <x:v/>
      </x:c>
      <x:c r="B61" s="156" t="str">
        <x: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x:f>
        <x:v/>
      </x:c>
      <x:c r="C61" s="156" t="str">
        <x:f>IF(D61="","",IF(OR(D61="교육지원과",D61="총무과",D61="인사과"),"직접입력",VLOOKUP(D61,구분표!$A$3:$C$258,3,)))</x:f>
        <x:v/>
      </x:c>
      <x:c r="D61" s="226"/>
      <x:c r="E61" s="213"/>
      <x:c r="F61" s="388" t="str">
        <x:f t="shared" ref="F61:G62" si="265">IF($E61="","",IF($E61="2추","직접입력","-"))</x:f>
        <x:v/>
      </x:c>
      <x:c r="G61" s="388" t="str">
        <x:f t="shared" si="265"/>
        <x:v/>
      </x:c>
      <x:c r="H61" s="213"/>
      <x:c r="I61" s="156" t="str">
        <x:f>IF(H61="","",VLOOKUP($H61,구분표!$K$3:$M$147,2,FALSE))</x:f>
        <x:v/>
      </x:c>
      <x:c r="J61" s="156" t="str">
        <x:f>IF(I61="","",VLOOKUP($H61,구분표!$K$3:$M$147,3,FALSE))</x:f>
        <x:v/>
      </x:c>
      <x:c r="K61" s="233"/>
      <x:c r="L61" s="233"/>
      <x:c r="M61" s="459" t="str">
        <x:f t="shared" ref="M61:M62" si="266">IF($E61="","",IF(OR($E61="2추",$E61="1추",$E61="본예산"),"금액입력","-"))</x:f>
        <x:v/>
      </x:c>
      <x:c r="N61" s="459" t="str">
        <x:f t="shared" ref="N61:N62" si="267">IF($E61="","",IF($E61="2추","금액입력","-"))</x:f>
        <x:v/>
      </x:c>
      <x:c r="O61" s="461" t="str">
        <x:f t="shared" si="252"/>
        <x:v/>
      </x:c>
      <x:c r="P61" s="460"/>
      <x:c r="Q61" s="461">
        <x:f t="shared" si="253"/>
        <x:v>0</x:v>
      </x:c>
      <x:c r="R61" s="462"/>
      <x:c r="S61" s="463">
        <x:f t="shared" si="254"/>
        <x:v>0</x:v>
      </x:c>
      <x:c r="T61" s="162" t="str">
        <x:f t="shared" si="255"/>
        <x:v>X</x:v>
      </x:c>
      <x:c r="U61" s="230"/>
      <x:c r="V61" s="224"/>
      <x:c r="W61" s="217"/>
      <x:c r="X61" s="234"/>
      <x:c r="Y61" s="217"/>
      <x:c r="Z61" s="356" t="str">
        <x:f t="shared" si="256"/>
        <x:v/>
      </x:c>
      <x:c r="AA61" s="61"/>
      <x:c r="AB61" s="486" t="str">
        <x:f t="shared" si="257"/>
        <x:v/>
      </x:c>
      <x:c r="AC61" s="487">
        <x:f t="shared" si="258"/>
        <x:v>0</x:v>
      </x:c>
      <x:c r="AD61" s="356" t="str">
        <x:f t="shared" si="3"/>
        <x:v>OK</x:v>
      </x:c>
      <x:c r="AE61" s="8"/>
      <x:c r="AF61" s="502" t="str">
        <x:f t="shared" si="259"/>
        <x:v/>
      </x:c>
      <x:c r="AG61" s="503">
        <x:f t="shared" si="260"/>
        <x:v>0</x:v>
      </x:c>
      <x:c r="AH61" s="381" t="str">
        <x:f t="shared" si="4"/>
        <x:v>OK</x:v>
      </x:c>
      <x:c r="AI61" s="8"/>
      <x:c r="AJ61" s="221" t="str">
        <x:f t="shared" si="261"/>
        <x:v/>
      </x:c>
      <x:c r="AK61" s="356" t="str">
        <x:f t="shared" si="262"/>
        <x:v/>
      </x:c>
      <x:c r="AL61" s="356" t="str">
        <x:f t="shared" si="263"/>
        <x:v/>
      </x:c>
      <x:c r="AM61" s="356" t="str">
        <x:f t="shared" si="264"/>
        <x:v/>
      </x:c>
      <x:c r="AN61" s="356" t="str">
        <x:f>IF($AM61="","",IF($AM61="도비","OK",IF($AJ61="세입없음","OK",IF($AJ61="세입번호입력","@@",IF(VLOOKUP($AJ61,'5. 기입'!$AH$6:$AI$1012,2,FALSE)='5. 기출'!$AM61,"OK","@@")))))</x:f>
        <x:v/>
      </x:c>
    </x:row>
    <x:row r="62" spans="1:40" s="20" customFormat="1" ht="80.099999999999994" customHeight="1">
      <x:c r="A62" s="155" t="str">
        <x:f>IF(D62="","",COUNTA($C$7:C62)-COUNTBLANK($C$7:C62)+14)</x:f>
        <x:v/>
      </x:c>
      <x:c r="B62" s="156" t="str">
        <x: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x:f>
        <x:v/>
      </x:c>
      <x:c r="C62" s="156" t="str">
        <x:f>IF(D62="","",IF(OR(D62="교육지원과",D62="총무과",D62="인사과"),"직접입력",VLOOKUP(D62,구분표!$A$3:$C$258,3,)))</x:f>
        <x:v/>
      </x:c>
      <x:c r="D62" s="226"/>
      <x:c r="E62" s="213"/>
      <x:c r="F62" s="388" t="str">
        <x:f t="shared" si="265"/>
        <x:v/>
      </x:c>
      <x:c r="G62" s="388" t="str">
        <x:f t="shared" si="265"/>
        <x:v/>
      </x:c>
      <x:c r="H62" s="213"/>
      <x:c r="I62" s="156" t="str">
        <x:f>IF(H62="","",VLOOKUP($H62,구분표!$K$3:$M$147,2,FALSE))</x:f>
        <x:v/>
      </x:c>
      <x:c r="J62" s="156" t="str">
        <x:f>IF(I62="","",VLOOKUP($H62,구분표!$K$3:$M$147,3,FALSE))</x:f>
        <x:v/>
      </x:c>
      <x:c r="K62" s="233"/>
      <x:c r="L62" s="233"/>
      <x:c r="M62" s="459" t="str">
        <x:f t="shared" si="266"/>
        <x:v/>
      </x:c>
      <x:c r="N62" s="459" t="str">
        <x:f t="shared" si="267"/>
        <x:v/>
      </x:c>
      <x:c r="O62" s="461" t="str">
        <x:f t="shared" si="252"/>
        <x:v/>
      </x:c>
      <x:c r="P62" s="460"/>
      <x:c r="Q62" s="461">
        <x:f t="shared" si="253"/>
        <x:v>0</x:v>
      </x:c>
      <x:c r="R62" s="462"/>
      <x:c r="S62" s="463">
        <x:f t="shared" si="254"/>
        <x:v>0</x:v>
      </x:c>
      <x:c r="T62" s="162" t="str">
        <x:f t="shared" si="255"/>
        <x:v>X</x:v>
      </x:c>
      <x:c r="U62" s="230"/>
      <x:c r="V62" s="224"/>
      <x:c r="W62" s="217"/>
      <x:c r="X62" s="234"/>
      <x:c r="Y62" s="217"/>
      <x:c r="Z62" s="356" t="str">
        <x:f t="shared" si="256"/>
        <x:v/>
      </x:c>
      <x:c r="AA62" s="61"/>
      <x:c r="AB62" s="486" t="str">
        <x:f t="shared" si="257"/>
        <x:v/>
      </x:c>
      <x:c r="AC62" s="487">
        <x:f t="shared" si="258"/>
        <x:v>0</x:v>
      </x:c>
      <x:c r="AD62" s="356" t="str">
        <x:f t="shared" si="3"/>
        <x:v>OK</x:v>
      </x:c>
      <x:c r="AE62" s="8"/>
      <x:c r="AF62" s="502" t="str">
        <x:f t="shared" si="259"/>
        <x:v/>
      </x:c>
      <x:c r="AG62" s="503">
        <x:f t="shared" si="260"/>
        <x:v>0</x:v>
      </x:c>
      <x:c r="AH62" s="381" t="str">
        <x:f t="shared" si="4"/>
        <x:v>OK</x:v>
      </x:c>
      <x:c r="AI62" s="8"/>
      <x:c r="AJ62" s="221" t="str">
        <x:f t="shared" si="261"/>
        <x:v/>
      </x:c>
      <x:c r="AK62" s="356" t="str">
        <x:f t="shared" si="262"/>
        <x:v/>
      </x:c>
      <x:c r="AL62" s="356" t="str">
        <x:f t="shared" si="263"/>
        <x:v/>
      </x:c>
      <x:c r="AM62" s="356" t="str">
        <x:f t="shared" si="264"/>
        <x:v/>
      </x:c>
      <x:c r="AN62" s="356" t="str">
        <x:f>IF($AM62="","",IF($AM62="도비","OK",IF($AJ62="세입없음","OK",IF($AJ62="세입번호입력","@@",IF(VLOOKUP($AJ62,'5. 기입'!$AH$6:$AI$1012,2,FALSE)='5. 기출'!$AM62,"OK","@@")))))</x:f>
        <x:v/>
      </x:c>
    </x:row>
    <x:row r="63" spans="1:40" ht="60" customHeight="1">
      <x:c r="A63" s="167"/>
      <x:c r="B63" s="888" t="s">
        <x:v>1460</x:v>
      </x:c>
      <x:c r="C63" s="888"/>
      <x:c r="D63" s="888"/>
      <x:c r="E63" s="888"/>
      <x:c r="F63" s="888"/>
      <x:c r="G63" s="888"/>
      <x:c r="H63" s="888"/>
      <x:c r="I63" s="888"/>
      <x:c r="J63" s="888"/>
      <x:c r="K63" s="83"/>
      <x:c r="L63" s="363" t="str">
        <x:f>SUBTOTAL(3,L64:L66)&amp;"건"</x:f>
        <x:v>0건</x:v>
      </x:c>
      <x:c r="M63" s="477">
        <x:f>SUBTOTAL(9,M64:M66)</x:f>
        <x:v>0</x:v>
      </x:c>
      <x:c r="N63" s="477">
        <x:f t="shared" ref="N63:S63" si="268">SUBTOTAL(9,N64:N66)</x:f>
        <x:v>0</x:v>
      </x:c>
      <x:c r="O63" s="477">
        <x:f t="shared" si="268"/>
        <x:v>0</x:v>
      </x:c>
      <x:c r="P63" s="477">
        <x:f t="shared" si="268"/>
        <x:v>0</x:v>
      </x:c>
      <x:c r="Q63" s="477">
        <x:f t="shared" si="268"/>
        <x:v>0</x:v>
      </x:c>
      <x:c r="R63" s="477">
        <x:f t="shared" si="268"/>
        <x:v>0</x:v>
      </x:c>
      <x:c r="S63" s="477">
        <x:f t="shared" si="268"/>
        <x:v>0</x:v>
      </x:c>
      <x:c r="T63" s="82"/>
      <x:c r="U63" s="84"/>
      <x:c r="V63" s="84"/>
      <x:c r="W63" s="85"/>
      <x:c r="X63" s="40"/>
      <x:c r="Y63" s="86"/>
      <x:c r="Z63" s="82"/>
      <x:c r="AA63" s="44"/>
      <x:c r="AB63" s="477">
        <x:f t="shared" ref="AB63:AC63" si="269">SUBTOTAL(9,AB64:AB66)</x:f>
        <x:v>0</x:v>
      </x:c>
      <x:c r="AC63" s="477">
        <x:f t="shared" si="269"/>
        <x:v>0</x:v>
      </x:c>
      <x:c r="AD63" s="556" t="str">
        <x:f>IF(COUNTIF(AD64:AD66,"@@")&gt;0,"@@","OK")</x:f>
        <x:v>OK</x:v>
      </x:c>
      <x:c r="AE63" s="53"/>
      <x:c r="AF63" s="477">
        <x:f t="shared" ref="AF63:AG63" si="270">SUBTOTAL(9,AF64:AF66)</x:f>
        <x:v>0</x:v>
      </x:c>
      <x:c r="AG63" s="477">
        <x:f t="shared" si="270"/>
        <x:v>0</x:v>
      </x:c>
      <x:c r="AH63" s="556" t="str">
        <x:f>IF(COUNTIF(AH64:AH66,"@@")&gt;0,"@@","OK")</x:f>
        <x:v>OK</x:v>
      </x:c>
      <x:c r="AI63" s="44"/>
      <x:c r="AJ63" s="81"/>
      <x:c r="AK63" s="81"/>
      <x:c r="AL63" s="556" t="str">
        <x:f>IF(COUNTIF(AL64:AL66,"@@")&gt;0,"@@","OK")</x:f>
        <x:v>OK</x:v>
      </x:c>
      <x:c r="AM63" s="81"/>
      <x:c r="AN63" s="556" t="str">
        <x:f>IF(COUNTIF(AN64:AN66,"@@")&gt;0,"@@","OK")</x:f>
        <x:v>OK</x:v>
      </x:c>
    </x:row>
    <x:row r="64" spans="1:40" s="20" customFormat="1" ht="80.099999999999994" customHeight="1">
      <x:c r="A64" s="155" t="str">
        <x:f>IF(D64="","",COUNTA($C$7:C64)-COUNTBLANK($C$7:C64)+15)</x:f>
        <x:v/>
      </x:c>
      <x:c r="B64" s="156" t="str">
        <x: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x:f>
        <x:v/>
      </x:c>
      <x:c r="C64" s="156" t="str">
        <x:f>IF(D64="","",IF(OR(D64="교육지원과",D64="총무과",D64="인사과"),"직접입력",VLOOKUP(D64,구분표!$A$3:$C$258,3,)))</x:f>
        <x:v/>
      </x:c>
      <x:c r="D64" s="226"/>
      <x:c r="E64" s="213"/>
      <x:c r="F64" s="388" t="str">
        <x:f>IF($E64="","",IF($E64="2추","직접입력","-"))</x:f>
        <x:v/>
      </x:c>
      <x:c r="G64" s="388" t="str">
        <x:f>IF($E64="","",IF($E64="2추","직접입력","-"))</x:f>
        <x:v/>
      </x:c>
      <x:c r="H64" s="213"/>
      <x:c r="I64" s="156" t="str">
        <x:f>IF(H64="","",VLOOKUP($H64,구분표!$K$3:$M$147,2,FALSE))</x:f>
        <x:v/>
      </x:c>
      <x:c r="J64" s="156" t="str">
        <x:f>IF(I64="","",VLOOKUP($H64,구분표!$K$3:$M$147,3,FALSE))</x:f>
        <x:v/>
      </x:c>
      <x:c r="K64" s="233"/>
      <x:c r="L64" s="233"/>
      <x:c r="M64" s="459" t="str">
        <x:f>IF($E64="","",IF(OR($E64="2추",$E64="1추",$E64="본예산"),"금액입력","-"))</x:f>
        <x:v/>
      </x:c>
      <x:c r="N64" s="459" t="str">
        <x:f>IF($E64="","",IF($E64="2추","금액입력","-"))</x:f>
        <x:v/>
      </x:c>
      <x:c r="O64" s="461" t="str">
        <x:f t="shared" ref="O64:O66" si="271">IF($E64="","",SUM(M64:N64))</x:f>
        <x:v/>
      </x:c>
      <x:c r="P64" s="460"/>
      <x:c r="Q64" s="461">
        <x:f t="shared" ref="Q64:Q66" si="272">SUM(O64:P64)</x:f>
        <x:v>0</x:v>
      </x:c>
      <x:c r="R64" s="462"/>
      <x:c r="S64" s="463">
        <x:f t="shared" ref="S64:S66" si="273">SUM(O64,R64)</x:f>
        <x:v>0</x:v>
      </x:c>
      <x:c r="T64" s="162" t="str">
        <x:f t="shared" ref="T64:T66" si="274">IF(AND((Q64=0),(S64&gt;0)),"O",IF(AND((P64&lt;0),(Q64-S64&lt;0)),"O","X"))</x:f>
        <x:v>X</x:v>
      </x:c>
      <x:c r="U64" s="230"/>
      <x:c r="V64" s="224"/>
      <x:c r="W64" s="217"/>
      <x:c r="X64" s="234"/>
      <x:c r="Y64" s="217"/>
      <x:c r="Z64" s="356" t="str">
        <x:f t="shared" ref="Z64:Z66" si="275">IF($K64="","",IF(COUNT(FIND("국비/",$K64)),"국도비",IF(COUNT(FIND("균특/",$K64)),"국도비",IF(COUNT(FIND("기금/",$K64)),"국도비",IF(COUNT(FIND("교부세/",$K64)),"국도비",IF(COUNT(FIND("소방안전/",$K64)),"국도비",IF(COUNT(FIND("소멸대응/",$K64)),"국도비","도비")))))))</x:f>
        <x:v/>
      </x:c>
      <x:c r="AA64" s="61"/>
      <x:c r="AB64" s="486" t="str">
        <x:f t="shared" ref="AB64:AB66" si="276">IF($Z64="","",IF($Z64="국도비","금액입력",0))</x:f>
        <x:v/>
      </x:c>
      <x:c r="AC64" s="487">
        <x:f t="shared" ref="AC64:AC66" si="277">IFERROR(P64-AB64,0)</x:f>
        <x:v>0</x:v>
      </x:c>
      <x:c r="AD64" s="356" t="str">
        <x:f t="shared" si="3"/>
        <x:v>OK</x:v>
      </x:c>
      <x:c r="AE64" s="8"/>
      <x:c r="AF64" s="502" t="str">
        <x:f t="shared" ref="AF64:AF66" si="278">IF($Z64="","",IF($Z64="국도비","금액입력",0))</x:f>
        <x:v/>
      </x:c>
      <x:c r="AG64" s="503">
        <x:f t="shared" ref="AG64:AG66" si="279">IFERROR(R64-AF64,0)</x:f>
        <x:v>0</x:v>
      </x:c>
      <x:c r="AH64" s="381" t="str">
        <x:f t="shared" si="4"/>
        <x:v>OK</x:v>
      </x:c>
      <x:c r="AI64" s="8"/>
      <x:c r="AJ64" s="221" t="str">
        <x:f t="shared" ref="AJ64:AJ66" si="280">IF($Z64="","",IF($Z64="도비","-","세입번호입력"))</x:f>
        <x:v/>
      </x:c>
      <x:c r="AK64" s="356" t="str">
        <x:f t="shared" ref="AK64:AK66" si="281">IF(OR(AJ64="",AJ64="-",AJ64="세입번호입력"),"",COUNTIF($AJ$7:$AJ$1013,AJ64))</x:f>
        <x:v/>
      </x:c>
      <x:c r="AL64" s="356" t="str">
        <x:f t="shared" ref="AL64:AL66" si="282">IF($AJ64="","",IF($Z64="도비","OK",IF(AND($Z64="국도비",$AJ64="세입없음"),"OK",IF(AND($Z64="국도비",$AJ64="세입번호입력"),"@@","OK"))))</x:f>
        <x:v/>
      </x:c>
      <x:c r="AM64" s="356" t="str">
        <x:f t="shared" ref="AM64:AM66" si="283">IF($K64="","",IF(COUNT(FIND("국비/",$K64)),"국비",IF(COUNT(FIND("균특/",$K64)),"균특",IF(COUNT(FIND("기금/",$K64)),"기금",IF(COUNT(FIND("교부세/",$K64)),"특교",IF(COUNT(FIND("소방안전/",$K64)),"소교",IF(COUNT(FIND("소멸대응/",$K64)),"소멸","도비")))))))</x:f>
        <x:v/>
      </x:c>
      <x:c r="AN64" s="356" t="str">
        <x:f>IF($AM64="","",IF($AM64="도비","OK",IF($AJ64="세입없음","OK",IF($AJ64="세입번호입력","@@",IF(VLOOKUP($AJ64,'5. 기입'!$AH$6:$AI$1012,2,FALSE)='5. 기출'!$AM64,"OK","@@")))))</x:f>
        <x:v/>
      </x:c>
    </x:row>
    <x:row r="65" spans="1:40" s="20" customFormat="1" ht="80.099999999999994" customHeight="1">
      <x:c r="A65" s="155" t="str">
        <x:f>IF(D65="","",COUNTA($C$7:C65)-COUNTBLANK($C$7:C65)+15)</x:f>
        <x:v/>
      </x:c>
      <x:c r="B65" s="156" t="str">
        <x: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x:f>
        <x:v/>
      </x:c>
      <x:c r="C65" s="156" t="str">
        <x:f>IF(D65="","",IF(OR(D65="교육지원과",D65="총무과",D65="인사과"),"직접입력",VLOOKUP(D65,구분표!$A$3:$C$258,3,)))</x:f>
        <x:v/>
      </x:c>
      <x:c r="D65" s="226"/>
      <x:c r="E65" s="213"/>
      <x:c r="F65" s="388" t="str">
        <x:f t="shared" ref="F65:G66" si="284">IF($E65="","",IF($E65="2추","직접입력","-"))</x:f>
        <x:v/>
      </x:c>
      <x:c r="G65" s="388" t="str">
        <x:f t="shared" si="284"/>
        <x:v/>
      </x:c>
      <x:c r="H65" s="213"/>
      <x:c r="I65" s="156" t="str">
        <x:f>IF(H65="","",VLOOKUP($H65,구분표!$K$3:$M$147,2,FALSE))</x:f>
        <x:v/>
      </x:c>
      <x:c r="J65" s="156" t="str">
        <x:f>IF(I65="","",VLOOKUP($H65,구분표!$K$3:$M$147,3,FALSE))</x:f>
        <x:v/>
      </x:c>
      <x:c r="K65" s="233"/>
      <x:c r="L65" s="233"/>
      <x:c r="M65" s="459" t="str">
        <x:f t="shared" ref="M65:M66" si="285">IF($E65="","",IF(OR($E65="2추",$E65="1추",$E65="본예산"),"금액입력","-"))</x:f>
        <x:v/>
      </x:c>
      <x:c r="N65" s="459" t="str">
        <x:f t="shared" ref="N65:N66" si="286">IF($E65="","",IF($E65="2추","금액입력","-"))</x:f>
        <x:v/>
      </x:c>
      <x:c r="O65" s="461" t="str">
        <x:f t="shared" si="271"/>
        <x:v/>
      </x:c>
      <x:c r="P65" s="460"/>
      <x:c r="Q65" s="461">
        <x:f t="shared" si="272"/>
        <x:v>0</x:v>
      </x:c>
      <x:c r="R65" s="462"/>
      <x:c r="S65" s="463">
        <x:f t="shared" si="273"/>
        <x:v>0</x:v>
      </x:c>
      <x:c r="T65" s="162" t="str">
        <x:f t="shared" si="274"/>
        <x:v>X</x:v>
      </x:c>
      <x:c r="U65" s="230"/>
      <x:c r="V65" s="224"/>
      <x:c r="W65" s="217"/>
      <x:c r="X65" s="234"/>
      <x:c r="Y65" s="217"/>
      <x:c r="Z65" s="356" t="str">
        <x:f t="shared" si="275"/>
        <x:v/>
      </x:c>
      <x:c r="AA65" s="61"/>
      <x:c r="AB65" s="486" t="str">
        <x:f t="shared" si="276"/>
        <x:v/>
      </x:c>
      <x:c r="AC65" s="487">
        <x:f t="shared" si="277"/>
        <x:v>0</x:v>
      </x:c>
      <x:c r="AD65" s="356" t="str">
        <x:f t="shared" si="3"/>
        <x:v>OK</x:v>
      </x:c>
      <x:c r="AE65" s="8"/>
      <x:c r="AF65" s="502" t="str">
        <x:f t="shared" si="278"/>
        <x:v/>
      </x:c>
      <x:c r="AG65" s="503">
        <x:f t="shared" si="279"/>
        <x:v>0</x:v>
      </x:c>
      <x:c r="AH65" s="381" t="str">
        <x:f t="shared" si="4"/>
        <x:v>OK</x:v>
      </x:c>
      <x:c r="AI65" s="8"/>
      <x:c r="AJ65" s="221" t="str">
        <x:f t="shared" si="280"/>
        <x:v/>
      </x:c>
      <x:c r="AK65" s="356" t="str">
        <x:f t="shared" si="281"/>
        <x:v/>
      </x:c>
      <x:c r="AL65" s="356" t="str">
        <x:f t="shared" si="282"/>
        <x:v/>
      </x:c>
      <x:c r="AM65" s="356" t="str">
        <x:f t="shared" si="283"/>
        <x:v/>
      </x:c>
      <x:c r="AN65" s="356" t="str">
        <x:f>IF($AM65="","",IF($AM65="도비","OK",IF($AJ65="세입없음","OK",IF($AJ65="세입번호입력","@@",IF(VLOOKUP($AJ65,'5. 기입'!$AH$6:$AI$1012,2,FALSE)='5. 기출'!$AM65,"OK","@@")))))</x:f>
        <x:v/>
      </x:c>
    </x:row>
    <x:row r="66" spans="1:40" s="20" customFormat="1" ht="80.099999999999994" customHeight="1">
      <x:c r="A66" s="155" t="str">
        <x:f>IF(D66="","",COUNTA($C$7:C66)-COUNTBLANK($C$7:C66)+15)</x:f>
        <x:v/>
      </x:c>
      <x:c r="B66" s="156" t="str">
        <x: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x:f>
        <x:v/>
      </x:c>
      <x:c r="C66" s="156" t="str">
        <x:f>IF(D66="","",IF(OR(D66="교육지원과",D66="총무과",D66="인사과"),"직접입력",VLOOKUP(D66,구분표!$A$3:$C$258,3,)))</x:f>
        <x:v/>
      </x:c>
      <x:c r="D66" s="226"/>
      <x:c r="E66" s="213"/>
      <x:c r="F66" s="388" t="str">
        <x:f t="shared" si="284"/>
        <x:v/>
      </x:c>
      <x:c r="G66" s="388" t="str">
        <x:f t="shared" si="284"/>
        <x:v/>
      </x:c>
      <x:c r="H66" s="213"/>
      <x:c r="I66" s="156" t="str">
        <x:f>IF(H66="","",VLOOKUP($H66,구분표!$K$3:$M$147,2,FALSE))</x:f>
        <x:v/>
      </x:c>
      <x:c r="J66" s="156" t="str">
        <x:f>IF(I66="","",VLOOKUP($H66,구분표!$K$3:$M$147,3,FALSE))</x:f>
        <x:v/>
      </x:c>
      <x:c r="K66" s="233"/>
      <x:c r="L66" s="233"/>
      <x:c r="M66" s="459" t="str">
        <x:f t="shared" si="285"/>
        <x:v/>
      </x:c>
      <x:c r="N66" s="459" t="str">
        <x:f t="shared" si="286"/>
        <x:v/>
      </x:c>
      <x:c r="O66" s="461" t="str">
        <x:f t="shared" si="271"/>
        <x:v/>
      </x:c>
      <x:c r="P66" s="460"/>
      <x:c r="Q66" s="461">
        <x:f t="shared" si="272"/>
        <x:v>0</x:v>
      </x:c>
      <x:c r="R66" s="462"/>
      <x:c r="S66" s="463">
        <x:f t="shared" si="273"/>
        <x:v>0</x:v>
      </x:c>
      <x:c r="T66" s="162" t="str">
        <x:f t="shared" si="274"/>
        <x:v>X</x:v>
      </x:c>
      <x:c r="U66" s="230"/>
      <x:c r="V66" s="224"/>
      <x:c r="W66" s="217"/>
      <x:c r="X66" s="234"/>
      <x:c r="Y66" s="217"/>
      <x:c r="Z66" s="356" t="str">
        <x:f t="shared" si="275"/>
        <x:v/>
      </x:c>
      <x:c r="AA66" s="61"/>
      <x:c r="AB66" s="486" t="str">
        <x:f t="shared" si="276"/>
        <x:v/>
      </x:c>
      <x:c r="AC66" s="487">
        <x:f t="shared" si="277"/>
        <x:v>0</x:v>
      </x:c>
      <x:c r="AD66" s="356" t="str">
        <x:f t="shared" si="3"/>
        <x:v>OK</x:v>
      </x:c>
      <x:c r="AE66" s="8"/>
      <x:c r="AF66" s="502" t="str">
        <x:f t="shared" si="278"/>
        <x:v/>
      </x:c>
      <x:c r="AG66" s="503">
        <x:f t="shared" si="279"/>
        <x:v>0</x:v>
      </x:c>
      <x:c r="AH66" s="381" t="str">
        <x:f t="shared" si="4"/>
        <x:v>OK</x:v>
      </x:c>
      <x:c r="AI66" s="8"/>
      <x:c r="AJ66" s="221" t="str">
        <x:f t="shared" si="280"/>
        <x:v/>
      </x:c>
      <x:c r="AK66" s="356" t="str">
        <x:f t="shared" si="281"/>
        <x:v/>
      </x:c>
      <x:c r="AL66" s="356" t="str">
        <x:f t="shared" si="282"/>
        <x:v/>
      </x:c>
      <x:c r="AM66" s="356" t="str">
        <x:f t="shared" si="283"/>
        <x:v/>
      </x:c>
      <x:c r="AN66" s="356" t="str">
        <x:f>IF($AM66="","",IF($AM66="도비","OK",IF($AJ66="세입없음","OK",IF($AJ66="세입번호입력","@@",IF(VLOOKUP($AJ66,'5. 기입'!$AH$6:$AI$1012,2,FALSE)='5. 기출'!$AM66,"OK","@@")))))</x:f>
        <x:v/>
      </x:c>
    </x:row>
    <x:row r="67" spans="1:40" ht="60" customHeight="1">
      <x:c r="A67" s="167"/>
      <x:c r="B67" s="888" t="s">
        <x:v>878</x:v>
      </x:c>
      <x:c r="C67" s="888"/>
      <x:c r="D67" s="888"/>
      <x:c r="E67" s="888"/>
      <x:c r="F67" s="888"/>
      <x:c r="G67" s="888"/>
      <x:c r="H67" s="888"/>
      <x:c r="I67" s="888"/>
      <x:c r="J67" s="888"/>
      <x:c r="K67" s="83"/>
      <x:c r="L67" s="363" t="str">
        <x:f>SUBTOTAL(3,L68:L70)&amp;"건"</x:f>
        <x:v>0건</x:v>
      </x:c>
      <x:c r="M67" s="477">
        <x:f t="shared" ref="M67:S67" si="287">SUBTOTAL(9,M68:M70)</x:f>
        <x:v>0</x:v>
      </x:c>
      <x:c r="N67" s="477">
        <x:f t="shared" si="287"/>
        <x:v>0</x:v>
      </x:c>
      <x:c r="O67" s="477">
        <x:f t="shared" si="287"/>
        <x:v>0</x:v>
      </x:c>
      <x:c r="P67" s="477">
        <x:f t="shared" si="287"/>
        <x:v>0</x:v>
      </x:c>
      <x:c r="Q67" s="477">
        <x:f t="shared" si="287"/>
        <x:v>0</x:v>
      </x:c>
      <x:c r="R67" s="477">
        <x:f t="shared" si="287"/>
        <x:v>0</x:v>
      </x:c>
      <x:c r="S67" s="477">
        <x:f t="shared" si="287"/>
        <x:v>0</x:v>
      </x:c>
      <x:c r="T67" s="82"/>
      <x:c r="U67" s="84"/>
      <x:c r="V67" s="84"/>
      <x:c r="W67" s="85"/>
      <x:c r="X67" s="56"/>
      <x:c r="Y67" s="86"/>
      <x:c r="Z67" s="82"/>
      <x:c r="AA67" s="44"/>
      <x:c r="AB67" s="477">
        <x:f t="shared" ref="AB67:AC67" si="288">SUBTOTAL(9,AB68:AB70)</x:f>
        <x:v>0</x:v>
      </x:c>
      <x:c r="AC67" s="477">
        <x:f t="shared" si="288"/>
        <x:v>0</x:v>
      </x:c>
      <x:c r="AD67" s="556" t="str">
        <x:f>IF(COUNTIF(AD68:AD70,"@@")&gt;0,"@@","OK")</x:f>
        <x:v>OK</x:v>
      </x:c>
      <x:c r="AE67" s="53"/>
      <x:c r="AF67" s="477">
        <x:f t="shared" ref="AF67:AG67" si="289">SUBTOTAL(9,AF68:AF70)</x:f>
        <x:v>0</x:v>
      </x:c>
      <x:c r="AG67" s="477">
        <x:f t="shared" si="289"/>
        <x:v>0</x:v>
      </x:c>
      <x:c r="AH67" s="556" t="str">
        <x:f>IF(COUNTIF(AH68:AH70,"@@")&gt;0,"@@","OK")</x:f>
        <x:v>OK</x:v>
      </x:c>
      <x:c r="AI67" s="44"/>
      <x:c r="AJ67" s="81"/>
      <x:c r="AK67" s="81"/>
      <x:c r="AL67" s="556" t="str">
        <x:f>IF(COUNTIF(AL68:AL70,"@@")&gt;0,"@@","OK")</x:f>
        <x:v>OK</x:v>
      </x:c>
      <x:c r="AM67" s="81"/>
      <x:c r="AN67" s="556" t="str">
        <x:f>IF(COUNTIF(AN68:AN70,"@@")&gt;0,"@@","OK")</x:f>
        <x:v>OK</x:v>
      </x:c>
    </x:row>
    <x:row r="68" spans="1:40" s="20" customFormat="1" ht="80.099999999999994" customHeight="1">
      <x:c r="A68" s="155" t="str">
        <x:f>IF(D68="","",COUNTA($C$7:C68)-COUNTBLANK($C$7:C68)+16)</x:f>
        <x:v/>
      </x:c>
      <x:c r="B68" s="156" t="str">
        <x: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x:f>
        <x:v/>
      </x:c>
      <x:c r="C68" s="156" t="str">
        <x:f>IF(D68="","",IF(OR(D68="교육지원과",D68="총무과",D68="인사과"),"직접입력",VLOOKUP(D68,구분표!$A$3:$C$258,3,)))</x:f>
        <x:v/>
      </x:c>
      <x:c r="D68" s="226"/>
      <x:c r="E68" s="213"/>
      <x:c r="F68" s="388" t="str">
        <x:f>IF($E68="","",IF($E68="2추","직접입력","-"))</x:f>
        <x:v/>
      </x:c>
      <x:c r="G68" s="388" t="str">
        <x:f>IF($E68="","",IF($E68="2추","직접입력","-"))</x:f>
        <x:v/>
      </x:c>
      <x:c r="H68" s="213"/>
      <x:c r="I68" s="156" t="str">
        <x:f>IF(H68="","",VLOOKUP($H68,구분표!$K$3:$M$147,2,FALSE))</x:f>
        <x:v/>
      </x:c>
      <x:c r="J68" s="156" t="str">
        <x:f>IF(I68="","",VLOOKUP($H68,구분표!$K$3:$M$147,3,FALSE))</x:f>
        <x:v/>
      </x:c>
      <x:c r="K68" s="233"/>
      <x:c r="L68" s="233"/>
      <x:c r="M68" s="459" t="str">
        <x:f>IF($E68="","",IF(OR($E68="2추",$E68="1추",$E68="본예산"),"금액입력","-"))</x:f>
        <x:v/>
      </x:c>
      <x:c r="N68" s="459" t="str">
        <x:f>IF($E68="","",IF($E68="2추","금액입력","-"))</x:f>
        <x:v/>
      </x:c>
      <x:c r="O68" s="461" t="str">
        <x:f t="shared" ref="O68:O70" si="290">IF($E68="","",SUM(M68:N68))</x:f>
        <x:v/>
      </x:c>
      <x:c r="P68" s="460"/>
      <x:c r="Q68" s="461">
        <x:f t="shared" ref="Q68:Q70" si="291">SUM(O68:P68)</x:f>
        <x:v>0</x:v>
      </x:c>
      <x:c r="R68" s="462"/>
      <x:c r="S68" s="463">
        <x:f t="shared" ref="S68:S70" si="292">SUM(O68,R68)</x:f>
        <x:v>0</x:v>
      </x:c>
      <x:c r="T68" s="162" t="str">
        <x:f t="shared" ref="T68:T70" si="293">IF(AND((Q68=0),(S68&gt;0)),"O",IF(AND((P68&lt;0),(Q68-S68&lt;0)),"O","X"))</x:f>
        <x:v>X</x:v>
      </x:c>
      <x:c r="U68" s="230"/>
      <x:c r="V68" s="224"/>
      <x:c r="W68" s="217"/>
      <x:c r="X68" s="234"/>
      <x:c r="Y68" s="217"/>
      <x:c r="Z68" s="356" t="str">
        <x:f t="shared" ref="Z68:Z70" si="294">IF($K68="","",IF(COUNT(FIND("국비/",$K68)),"국도비",IF(COUNT(FIND("균특/",$K68)),"국도비",IF(COUNT(FIND("기금/",$K68)),"국도비",IF(COUNT(FIND("교부세/",$K68)),"국도비",IF(COUNT(FIND("소방안전/",$K68)),"국도비",IF(COUNT(FIND("소멸대응/",$K68)),"국도비","도비")))))))</x:f>
        <x:v/>
      </x:c>
      <x:c r="AA68" s="61"/>
      <x:c r="AB68" s="486" t="str">
        <x:f t="shared" ref="AB68:AB70" si="295">IF($Z68="","",IF($Z68="국도비","금액입력",0))</x:f>
        <x:v/>
      </x:c>
      <x:c r="AC68" s="487">
        <x:f t="shared" ref="AC68:AC70" si="296">IFERROR(P68-AB68,0)</x:f>
        <x:v>0</x:v>
      </x:c>
      <x:c r="AD68" s="356" t="str">
        <x:f t="shared" si="3"/>
        <x:v>OK</x:v>
      </x:c>
      <x:c r="AE68" s="8"/>
      <x:c r="AF68" s="502" t="str">
        <x:f t="shared" ref="AF68:AF70" si="297">IF($Z68="","",IF($Z68="국도비","금액입력",0))</x:f>
        <x:v/>
      </x:c>
      <x:c r="AG68" s="503">
        <x:f t="shared" ref="AG68:AG70" si="298">IFERROR(R68-AF68,0)</x:f>
        <x:v>0</x:v>
      </x:c>
      <x:c r="AH68" s="381" t="str">
        <x:f t="shared" si="4"/>
        <x:v>OK</x:v>
      </x:c>
      <x:c r="AI68" s="8"/>
      <x:c r="AJ68" s="221" t="str">
        <x:f t="shared" ref="AJ68:AJ70" si="299">IF($Z68="","",IF($Z68="도비","-","세입번호입력"))</x:f>
        <x:v/>
      </x:c>
      <x:c r="AK68" s="356" t="str">
        <x:f t="shared" ref="AK68:AK70" si="300">IF(OR(AJ68="",AJ68="-",AJ68="세입번호입력"),"",COUNTIF($AJ$7:$AJ$1013,AJ68))</x:f>
        <x:v/>
      </x:c>
      <x:c r="AL68" s="356" t="str">
        <x:f t="shared" ref="AL68:AL70" si="301">IF($AJ68="","",IF($Z68="도비","OK",IF(AND($Z68="국도비",$AJ68="세입없음"),"OK",IF(AND($Z68="국도비",$AJ68="세입번호입력"),"@@","OK"))))</x:f>
        <x:v/>
      </x:c>
      <x:c r="AM68" s="356" t="str">
        <x:f t="shared" ref="AM68:AM70" si="302">IF($K68="","",IF(COUNT(FIND("국비/",$K68)),"국비",IF(COUNT(FIND("균특/",$K68)),"균특",IF(COUNT(FIND("기금/",$K68)),"기금",IF(COUNT(FIND("교부세/",$K68)),"특교",IF(COUNT(FIND("소방안전/",$K68)),"소교",IF(COUNT(FIND("소멸대응/",$K68)),"소멸","도비")))))))</x:f>
        <x:v/>
      </x:c>
      <x:c r="AN68" s="356" t="str">
        <x:f>IF($AM68="","",IF($AM68="도비","OK",IF($AJ68="세입없음","OK",IF($AJ68="세입번호입력","@@",IF(VLOOKUP($AJ68,'5. 기입'!$AH$6:$AI$1012,2,FALSE)='5. 기출'!$AM68,"OK","@@")))))</x:f>
        <x:v/>
      </x:c>
    </x:row>
    <x:row r="69" spans="1:40" s="20" customFormat="1" ht="80.099999999999994" customHeight="1">
      <x:c r="A69" s="155" t="str">
        <x:f>IF(D69="","",COUNTA($C$7:C69)-COUNTBLANK($C$7:C69)+16)</x:f>
        <x:v/>
      </x:c>
      <x:c r="B69" s="156" t="str">
        <x: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x:f>
        <x:v/>
      </x:c>
      <x:c r="C69" s="156" t="str">
        <x:f>IF(D69="","",IF(OR(D69="교육지원과",D69="총무과",D69="인사과"),"직접입력",VLOOKUP(D69,구분표!$A$3:$C$258,3,)))</x:f>
        <x:v/>
      </x:c>
      <x:c r="D69" s="226"/>
      <x:c r="E69" s="213"/>
      <x:c r="F69" s="388" t="str">
        <x:f t="shared" ref="F69:G70" si="303">IF($E69="","",IF($E69="2추","직접입력","-"))</x:f>
        <x:v/>
      </x:c>
      <x:c r="G69" s="388" t="str">
        <x:f t="shared" si="303"/>
        <x:v/>
      </x:c>
      <x:c r="H69" s="213"/>
      <x:c r="I69" s="156" t="str">
        <x:f>IF(H69="","",VLOOKUP($H69,구분표!$K$3:$M$147,2,FALSE))</x:f>
        <x:v/>
      </x:c>
      <x:c r="J69" s="156" t="str">
        <x:f>IF(I69="","",VLOOKUP($H69,구분표!$K$3:$M$147,3,FALSE))</x:f>
        <x:v/>
      </x:c>
      <x:c r="K69" s="233"/>
      <x:c r="L69" s="233"/>
      <x:c r="M69" s="459" t="str">
        <x:f t="shared" ref="M69:M70" si="304">IF($E69="","",IF(OR($E69="2추",$E69="1추",$E69="본예산"),"금액입력","-"))</x:f>
        <x:v/>
      </x:c>
      <x:c r="N69" s="459" t="str">
        <x:f t="shared" ref="N69:N70" si="305">IF($E69="","",IF($E69="2추","금액입력","-"))</x:f>
        <x:v/>
      </x:c>
      <x:c r="O69" s="461" t="str">
        <x:f t="shared" si="290"/>
        <x:v/>
      </x:c>
      <x:c r="P69" s="460"/>
      <x:c r="Q69" s="461">
        <x:f t="shared" si="291"/>
        <x:v>0</x:v>
      </x:c>
      <x:c r="R69" s="462"/>
      <x:c r="S69" s="463">
        <x:f t="shared" si="292"/>
        <x:v>0</x:v>
      </x:c>
      <x:c r="T69" s="162" t="str">
        <x:f t="shared" si="293"/>
        <x:v>X</x:v>
      </x:c>
      <x:c r="U69" s="230"/>
      <x:c r="V69" s="224"/>
      <x:c r="W69" s="217"/>
      <x:c r="X69" s="234"/>
      <x:c r="Y69" s="217"/>
      <x:c r="Z69" s="356" t="str">
        <x:f t="shared" si="294"/>
        <x:v/>
      </x:c>
      <x:c r="AA69" s="61"/>
      <x:c r="AB69" s="486" t="str">
        <x:f t="shared" si="295"/>
        <x:v/>
      </x:c>
      <x:c r="AC69" s="487">
        <x:f t="shared" si="296"/>
        <x:v>0</x:v>
      </x:c>
      <x:c r="AD69" s="356" t="str">
        <x:f t="shared" si="3"/>
        <x:v>OK</x:v>
      </x:c>
      <x:c r="AE69" s="8"/>
      <x:c r="AF69" s="502" t="str">
        <x:f t="shared" si="297"/>
        <x:v/>
      </x:c>
      <x:c r="AG69" s="503">
        <x:f t="shared" si="298"/>
        <x:v>0</x:v>
      </x:c>
      <x:c r="AH69" s="381" t="str">
        <x:f t="shared" si="4"/>
        <x:v>OK</x:v>
      </x:c>
      <x:c r="AI69" s="8"/>
      <x:c r="AJ69" s="221" t="str">
        <x:f t="shared" si="299"/>
        <x:v/>
      </x:c>
      <x:c r="AK69" s="356" t="str">
        <x:f t="shared" si="300"/>
        <x:v/>
      </x:c>
      <x:c r="AL69" s="356" t="str">
        <x:f t="shared" si="301"/>
        <x:v/>
      </x:c>
      <x:c r="AM69" s="356" t="str">
        <x:f t="shared" si="302"/>
        <x:v/>
      </x:c>
      <x:c r="AN69" s="356" t="str">
        <x:f>IF($AM69="","",IF($AM69="도비","OK",IF($AJ69="세입없음","OK",IF($AJ69="세입번호입력","@@",IF(VLOOKUP($AJ69,'5. 기입'!$AH$6:$AI$1012,2,FALSE)='5. 기출'!$AM69,"OK","@@")))))</x:f>
        <x:v/>
      </x:c>
    </x:row>
    <x:row r="70" spans="1:40" s="20" customFormat="1" ht="80.099999999999994" customHeight="1">
      <x:c r="A70" s="155" t="str">
        <x:f>IF(D70="","",COUNTA($C$7:C70)-COUNTBLANK($C$7:C70)+16)</x:f>
        <x:v/>
      </x:c>
      <x:c r="B70" s="156" t="str">
        <x: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x:f>
        <x:v/>
      </x:c>
      <x:c r="C70" s="156" t="str">
        <x:f>IF(D70="","",IF(OR(D70="교육지원과",D70="총무과",D70="인사과"),"직접입력",VLOOKUP(D70,구분표!$A$3:$C$258,3,)))</x:f>
        <x:v/>
      </x:c>
      <x:c r="D70" s="226"/>
      <x:c r="E70" s="213"/>
      <x:c r="F70" s="388" t="str">
        <x:f t="shared" si="303"/>
        <x:v/>
      </x:c>
      <x:c r="G70" s="388" t="str">
        <x:f t="shared" si="303"/>
        <x:v/>
      </x:c>
      <x:c r="H70" s="213"/>
      <x:c r="I70" s="156" t="str">
        <x:f>IF(H70="","",VLOOKUP($H70,구분표!$K$3:$M$147,2,FALSE))</x:f>
        <x:v/>
      </x:c>
      <x:c r="J70" s="156" t="str">
        <x:f>IF(I70="","",VLOOKUP($H70,구분표!$K$3:$M$147,3,FALSE))</x:f>
        <x:v/>
      </x:c>
      <x:c r="K70" s="233"/>
      <x:c r="L70" s="233"/>
      <x:c r="M70" s="459" t="str">
        <x:f t="shared" si="304"/>
        <x:v/>
      </x:c>
      <x:c r="N70" s="459" t="str">
        <x:f t="shared" si="305"/>
        <x:v/>
      </x:c>
      <x:c r="O70" s="461" t="str">
        <x:f t="shared" si="290"/>
        <x:v/>
      </x:c>
      <x:c r="P70" s="460"/>
      <x:c r="Q70" s="461">
        <x:f t="shared" si="291"/>
        <x:v>0</x:v>
      </x:c>
      <x:c r="R70" s="462"/>
      <x:c r="S70" s="463">
        <x:f t="shared" si="292"/>
        <x:v>0</x:v>
      </x:c>
      <x:c r="T70" s="162" t="str">
        <x:f t="shared" si="293"/>
        <x:v>X</x:v>
      </x:c>
      <x:c r="U70" s="230"/>
      <x:c r="V70" s="224"/>
      <x:c r="W70" s="217"/>
      <x:c r="X70" s="234"/>
      <x:c r="Y70" s="217"/>
      <x:c r="Z70" s="356" t="str">
        <x:f t="shared" si="294"/>
        <x:v/>
      </x:c>
      <x:c r="AA70" s="61"/>
      <x:c r="AB70" s="486" t="str">
        <x:f t="shared" si="295"/>
        <x:v/>
      </x:c>
      <x:c r="AC70" s="487">
        <x:f t="shared" si="296"/>
        <x:v>0</x:v>
      </x:c>
      <x:c r="AD70" s="356" t="str">
        <x:f t="shared" si="3"/>
        <x:v>OK</x:v>
      </x:c>
      <x:c r="AE70" s="8"/>
      <x:c r="AF70" s="502" t="str">
        <x:f t="shared" si="297"/>
        <x:v/>
      </x:c>
      <x:c r="AG70" s="503">
        <x:f t="shared" si="298"/>
        <x:v>0</x:v>
      </x:c>
      <x:c r="AH70" s="381" t="str">
        <x:f t="shared" si="4"/>
        <x:v>OK</x:v>
      </x:c>
      <x:c r="AI70" s="8"/>
      <x:c r="AJ70" s="221" t="str">
        <x:f t="shared" si="299"/>
        <x:v/>
      </x:c>
      <x:c r="AK70" s="356" t="str">
        <x:f t="shared" si="300"/>
        <x:v/>
      </x:c>
      <x:c r="AL70" s="356" t="str">
        <x:f t="shared" si="301"/>
        <x:v/>
      </x:c>
      <x:c r="AM70" s="356" t="str">
        <x:f t="shared" si="302"/>
        <x:v/>
      </x:c>
      <x:c r="AN70" s="356" t="str">
        <x:f>IF($AM70="","",IF($AM70="도비","OK",IF($AJ70="세입없음","OK",IF($AJ70="세입번호입력","@@",IF(VLOOKUP($AJ70,'5. 기입'!$AH$6:$AI$1012,2,FALSE)='5. 기출'!$AM70,"OK","@@")))))</x:f>
        <x:v/>
      </x:c>
    </x:row>
    <x:row r="71" spans="1:40" ht="60" customHeight="1">
      <x:c r="A71" s="167"/>
      <x:c r="B71" s="888" t="s">
        <x:v>1643</x:v>
      </x:c>
      <x:c r="C71" s="888"/>
      <x:c r="D71" s="888"/>
      <x:c r="E71" s="888"/>
      <x:c r="F71" s="888"/>
      <x:c r="G71" s="888"/>
      <x:c r="H71" s="888"/>
      <x:c r="I71" s="888"/>
      <x:c r="J71" s="888"/>
      <x:c r="K71" s="83"/>
      <x:c r="L71" s="363" t="str">
        <x:f>SUBTOTAL(3,L72:L74)&amp;"건"</x:f>
        <x:v>0건</x:v>
      </x:c>
      <x:c r="M71" s="477">
        <x:f t="shared" ref="M71:S71" si="306">SUBTOTAL(9,M72:M74)</x:f>
        <x:v>0</x:v>
      </x:c>
      <x:c r="N71" s="477">
        <x:f t="shared" si="306"/>
        <x:v>0</x:v>
      </x:c>
      <x:c r="O71" s="477">
        <x:f t="shared" si="306"/>
        <x:v>0</x:v>
      </x:c>
      <x:c r="P71" s="477">
        <x:f t="shared" si="306"/>
        <x:v>0</x:v>
      </x:c>
      <x:c r="Q71" s="477">
        <x:f t="shared" si="306"/>
        <x:v>0</x:v>
      </x:c>
      <x:c r="R71" s="477">
        <x:f t="shared" si="306"/>
        <x:v>0</x:v>
      </x:c>
      <x:c r="S71" s="477">
        <x:f t="shared" si="306"/>
        <x:v>0</x:v>
      </x:c>
      <x:c r="T71" s="82"/>
      <x:c r="U71" s="84"/>
      <x:c r="V71" s="84"/>
      <x:c r="W71" s="85"/>
      <x:c r="X71" s="56"/>
      <x:c r="Y71" s="86"/>
      <x:c r="Z71" s="82"/>
      <x:c r="AA71" s="44"/>
      <x:c r="AB71" s="477">
        <x:f t="shared" ref="AB71:AC71" si="307">SUBTOTAL(9,AB72:AB74)</x:f>
        <x:v>0</x:v>
      </x:c>
      <x:c r="AC71" s="477">
        <x:f t="shared" si="307"/>
        <x:v>0</x:v>
      </x:c>
      <x:c r="AD71" s="556" t="str">
        <x:f>IF(COUNTIF(AD72:AD74,"@@")&gt;0,"@@","OK")</x:f>
        <x:v>OK</x:v>
      </x:c>
      <x:c r="AE71" s="53"/>
      <x:c r="AF71" s="477">
        <x:f t="shared" ref="AF71:AG71" si="308">SUBTOTAL(9,AF72:AF74)</x:f>
        <x:v>0</x:v>
      </x:c>
      <x:c r="AG71" s="477">
        <x:f t="shared" si="308"/>
        <x:v>0</x:v>
      </x:c>
      <x:c r="AH71" s="556" t="str">
        <x:f>IF(COUNTIF(AH72:AH74,"@@")&gt;0,"@@","OK")</x:f>
        <x:v>OK</x:v>
      </x:c>
      <x:c r="AI71" s="44"/>
      <x:c r="AJ71" s="81"/>
      <x:c r="AK71" s="81"/>
      <x:c r="AL71" s="556" t="str">
        <x:f>IF(COUNTIF(AL72:AL74,"@@")&gt;0,"@@","OK")</x:f>
        <x:v>OK</x:v>
      </x:c>
      <x:c r="AM71" s="81"/>
      <x:c r="AN71" s="556" t="str">
        <x:f>IF(COUNTIF(AN72:AN74,"@@")&gt;0,"@@","OK")</x:f>
        <x:v>OK</x:v>
      </x:c>
    </x:row>
    <x:row r="72" spans="1:40" s="20" customFormat="1" ht="80.099999999999994" customHeight="1">
      <x:c r="A72" s="155" t="str">
        <x:f>IF(D72="","",COUNTA($C$7:C72)-COUNTBLANK($C$7:C72)+17)</x:f>
        <x:v/>
      </x:c>
      <x:c r="B72" s="156" t="str">
        <x: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x:f>
        <x:v/>
      </x:c>
      <x:c r="C72" s="156" t="str">
        <x:f>IF(D72="","",IF(OR(D72="교육지원과",D72="총무과",D72="인사과"),"직접입력",VLOOKUP(D72,구분표!$A$3:$C$258,3,)))</x:f>
        <x:v/>
      </x:c>
      <x:c r="D72" s="226"/>
      <x:c r="E72" s="213"/>
      <x:c r="F72" s="388" t="str">
        <x:f>IF($E72="","",IF($E72="2추","직접입력","-"))</x:f>
        <x:v/>
      </x:c>
      <x:c r="G72" s="388" t="str">
        <x:f>IF($E72="","",IF($E72="2추","직접입력","-"))</x:f>
        <x:v/>
      </x:c>
      <x:c r="H72" s="213"/>
      <x:c r="I72" s="156" t="str">
        <x:f>IF(H72="","",VLOOKUP($H72,구분표!$K$3:$M$147,2,FALSE))</x:f>
        <x:v/>
      </x:c>
      <x:c r="J72" s="156" t="str">
        <x:f>IF(I72="","",VLOOKUP($H72,구분표!$K$3:$M$147,3,FALSE))</x:f>
        <x:v/>
      </x:c>
      <x:c r="K72" s="233"/>
      <x:c r="L72" s="233"/>
      <x:c r="M72" s="459" t="str">
        <x:f>IF($E72="","",IF(OR($E72="2추",$E72="1추",$E72="본예산"),"금액입력","-"))</x:f>
        <x:v/>
      </x:c>
      <x:c r="N72" s="459" t="str">
        <x:f>IF($E72="","",IF($E72="2추","금액입력","-"))</x:f>
        <x:v/>
      </x:c>
      <x:c r="O72" s="461" t="str">
        <x:f t="shared" ref="O72:O74" si="309">IF($E72="","",SUM(M72:N72))</x:f>
        <x:v/>
      </x:c>
      <x:c r="P72" s="460"/>
      <x:c r="Q72" s="461">
        <x:f t="shared" ref="Q72:Q74" si="310">SUM(O72:P72)</x:f>
        <x:v>0</x:v>
      </x:c>
      <x:c r="R72" s="462"/>
      <x:c r="S72" s="463">
        <x:f t="shared" ref="S72:S74" si="311">SUM(O72,R72)</x:f>
        <x:v>0</x:v>
      </x:c>
      <x:c r="T72" s="162" t="str">
        <x:f t="shared" ref="T72:T74" si="312">IF(AND((Q72=0),(S72&gt;0)),"O",IF(AND((P72&lt;0),(Q72-S72&lt;0)),"O","X"))</x:f>
        <x:v>X</x:v>
      </x:c>
      <x:c r="U72" s="230"/>
      <x:c r="V72" s="224"/>
      <x:c r="W72" s="217"/>
      <x:c r="X72" s="234"/>
      <x:c r="Y72" s="217"/>
      <x:c r="Z72" s="356" t="str">
        <x:f t="shared" ref="Z72:Z74" si="313">IF($K72="","",IF(COUNT(FIND("국비/",$K72)),"국도비",IF(COUNT(FIND("균특/",$K72)),"국도비",IF(COUNT(FIND("기금/",$K72)),"국도비",IF(COUNT(FIND("교부세/",$K72)),"국도비",IF(COUNT(FIND("소방안전/",$K72)),"국도비",IF(COUNT(FIND("소멸대응/",$K72)),"국도비","도비")))))))</x:f>
        <x:v/>
      </x:c>
      <x:c r="AA72" s="61"/>
      <x:c r="AB72" s="486" t="str">
        <x:f t="shared" ref="AB72:AB74" si="314">IF($Z72="","",IF($Z72="국도비","금액입력",0))</x:f>
        <x:v/>
      </x:c>
      <x:c r="AC72" s="487">
        <x:f t="shared" ref="AC72:AC74" si="315">IFERROR(P72-AB72,0)</x:f>
        <x:v>0</x:v>
      </x:c>
      <x:c r="AD72" s="356" t="str">
        <x:f t="shared" si="3"/>
        <x:v>OK</x:v>
      </x:c>
      <x:c r="AE72" s="8"/>
      <x:c r="AF72" s="502" t="str">
        <x:f t="shared" ref="AF72:AF74" si="316">IF($Z72="","",IF($Z72="국도비","금액입력",0))</x:f>
        <x:v/>
      </x:c>
      <x:c r="AG72" s="503">
        <x:f t="shared" ref="AG72:AG74" si="317">IFERROR(R72-AF72,0)</x:f>
        <x:v>0</x:v>
      </x:c>
      <x:c r="AH72" s="381" t="str">
        <x:f t="shared" si="4"/>
        <x:v>OK</x:v>
      </x:c>
      <x:c r="AI72" s="8"/>
      <x:c r="AJ72" s="221" t="str">
        <x:f t="shared" ref="AJ72:AJ74" si="318">IF($Z72="","",IF($Z72="도비","-","세입번호입력"))</x:f>
        <x:v/>
      </x:c>
      <x:c r="AK72" s="356" t="str">
        <x:f t="shared" ref="AK72:AK74" si="319">IF(OR(AJ72="",AJ72="-",AJ72="세입번호입력"),"",COUNTIF($AJ$7:$AJ$1013,AJ72))</x:f>
        <x:v/>
      </x:c>
      <x:c r="AL72" s="356" t="str">
        <x:f t="shared" ref="AL72:AL74" si="320">IF($AJ72="","",IF($Z72="도비","OK",IF(AND($Z72="국도비",$AJ72="세입없음"),"OK",IF(AND($Z72="국도비",$AJ72="세입번호입력"),"@@","OK"))))</x:f>
        <x:v/>
      </x:c>
      <x:c r="AM72" s="356" t="str">
        <x:f t="shared" ref="AM72:AM74" si="321">IF($K72="","",IF(COUNT(FIND("국비/",$K72)),"국비",IF(COUNT(FIND("균특/",$K72)),"균특",IF(COUNT(FIND("기금/",$K72)),"기금",IF(COUNT(FIND("교부세/",$K72)),"특교",IF(COUNT(FIND("소방안전/",$K72)),"소교",IF(COUNT(FIND("소멸대응/",$K72)),"소멸","도비")))))))</x:f>
        <x:v/>
      </x:c>
      <x:c r="AN72" s="356" t="str">
        <x:f>IF($AM72="","",IF($AM72="도비","OK",IF($AJ72="세입없음","OK",IF($AJ72="세입번호입력","@@",IF(VLOOKUP($AJ72,'5. 기입'!$AH$6:$AI$1012,2,FALSE)='5. 기출'!$AM72,"OK","@@")))))</x:f>
        <x:v/>
      </x:c>
    </x:row>
    <x:row r="73" spans="1:40" s="20" customFormat="1" ht="80.099999999999994" customHeight="1">
      <x:c r="A73" s="155" t="str">
        <x:f>IF(D73="","",COUNTA($C$7:C73)-COUNTBLANK($C$7:C73)+17)</x:f>
        <x:v/>
      </x:c>
      <x:c r="B73" s="156" t="str">
        <x: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x:f>
        <x:v/>
      </x:c>
      <x:c r="C73" s="156" t="str">
        <x:f>IF(D73="","",IF(OR(D73="교육지원과",D73="총무과",D73="인사과"),"직접입력",VLOOKUP(D73,구분표!$A$3:$C$258,3,)))</x:f>
        <x:v/>
      </x:c>
      <x:c r="D73" s="226"/>
      <x:c r="E73" s="213"/>
      <x:c r="F73" s="388" t="str">
        <x:f t="shared" ref="F73:G74" si="322">IF($E73="","",IF($E73="2추","직접입력","-"))</x:f>
        <x:v/>
      </x:c>
      <x:c r="G73" s="388" t="str">
        <x:f t="shared" si="322"/>
        <x:v/>
      </x:c>
      <x:c r="H73" s="213"/>
      <x:c r="I73" s="156" t="str">
        <x:f>IF(H73="","",VLOOKUP($H73,구분표!$K$3:$M$147,2,FALSE))</x:f>
        <x:v/>
      </x:c>
      <x:c r="J73" s="156" t="str">
        <x:f>IF(I73="","",VLOOKUP($H73,구분표!$K$3:$M$147,3,FALSE))</x:f>
        <x:v/>
      </x:c>
      <x:c r="K73" s="233"/>
      <x:c r="L73" s="233"/>
      <x:c r="M73" s="459" t="str">
        <x:f t="shared" ref="M73:M74" si="323">IF($E73="","",IF(OR($E73="2추",$E73="1추",$E73="본예산"),"금액입력","-"))</x:f>
        <x:v/>
      </x:c>
      <x:c r="N73" s="459" t="str">
        <x:f t="shared" ref="N73:N74" si="324">IF($E73="","",IF($E73="2추","금액입력","-"))</x:f>
        <x:v/>
      </x:c>
      <x:c r="O73" s="461" t="str">
        <x:f t="shared" si="309"/>
        <x:v/>
      </x:c>
      <x:c r="P73" s="460"/>
      <x:c r="Q73" s="461">
        <x:f t="shared" si="310"/>
        <x:v>0</x:v>
      </x:c>
      <x:c r="R73" s="462"/>
      <x:c r="S73" s="463">
        <x:f t="shared" si="311"/>
        <x:v>0</x:v>
      </x:c>
      <x:c r="T73" s="162" t="str">
        <x:f t="shared" si="312"/>
        <x:v>X</x:v>
      </x:c>
      <x:c r="U73" s="230"/>
      <x:c r="V73" s="224"/>
      <x:c r="W73" s="217"/>
      <x:c r="X73" s="234"/>
      <x:c r="Y73" s="217"/>
      <x:c r="Z73" s="356" t="str">
        <x:f t="shared" si="313"/>
        <x:v/>
      </x:c>
      <x:c r="AA73" s="61"/>
      <x:c r="AB73" s="486" t="str">
        <x:f t="shared" si="314"/>
        <x:v/>
      </x:c>
      <x:c r="AC73" s="487">
        <x:f t="shared" si="315"/>
        <x:v>0</x:v>
      </x:c>
      <x:c r="AD73" s="356" t="str">
        <x:f t="shared" ref="AD73:AD74" si="325">IF($P73=SUM($AB73:$AC73),"OK","@@")</x:f>
        <x:v>OK</x:v>
      </x:c>
      <x:c r="AE73" s="8"/>
      <x:c r="AF73" s="502" t="str">
        <x:f t="shared" si="316"/>
        <x:v/>
      </x:c>
      <x:c r="AG73" s="503">
        <x:f t="shared" si="317"/>
        <x:v>0</x:v>
      </x:c>
      <x:c r="AH73" s="381" t="str">
        <x:f t="shared" ref="AH73:AH74" si="326">IF($R73=SUM($AF73:$AG73),"OK","@@")</x:f>
        <x:v>OK</x:v>
      </x:c>
      <x:c r="AI73" s="8"/>
      <x:c r="AJ73" s="221" t="str">
        <x:f t="shared" si="318"/>
        <x:v/>
      </x:c>
      <x:c r="AK73" s="356" t="str">
        <x:f t="shared" si="319"/>
        <x:v/>
      </x:c>
      <x:c r="AL73" s="356" t="str">
        <x:f t="shared" si="320"/>
        <x:v/>
      </x:c>
      <x:c r="AM73" s="356" t="str">
        <x:f t="shared" si="321"/>
        <x:v/>
      </x:c>
      <x:c r="AN73" s="356" t="str">
        <x:f>IF($AM73="","",IF($AM73="도비","OK",IF($AJ73="세입없음","OK",IF($AJ73="세입번호입력","@@",IF(VLOOKUP($AJ73,'5. 기입'!$AH$6:$AI$1012,2,FALSE)='5. 기출'!$AM73,"OK","@@")))))</x:f>
        <x:v/>
      </x:c>
    </x:row>
    <x:row r="74" spans="1:40" s="20" customFormat="1" ht="80.099999999999994" customHeight="1">
      <x:c r="A74" s="155" t="str">
        <x:f>IF(D74="","",COUNTA($C$7:C74)-COUNTBLANK($C$7:C74)+17)</x:f>
        <x:v/>
      </x:c>
      <x:c r="B74" s="156" t="str">
        <x: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x:f>
        <x:v/>
      </x:c>
      <x:c r="C74" s="156" t="str">
        <x:f>IF(D74="","",IF(OR(D74="교육지원과",D74="총무과",D74="인사과"),"직접입력",VLOOKUP(D74,구분표!$A$3:$C$258,3,)))</x:f>
        <x:v/>
      </x:c>
      <x:c r="D74" s="226"/>
      <x:c r="E74" s="213"/>
      <x:c r="F74" s="388" t="str">
        <x:f t="shared" si="322"/>
        <x:v/>
      </x:c>
      <x:c r="G74" s="388" t="str">
        <x:f t="shared" si="322"/>
        <x:v/>
      </x:c>
      <x:c r="H74" s="213"/>
      <x:c r="I74" s="156" t="str">
        <x:f>IF(H74="","",VLOOKUP($H74,구분표!$K$3:$M$147,2,FALSE))</x:f>
        <x:v/>
      </x:c>
      <x:c r="J74" s="156" t="str">
        <x:f>IF(I74="","",VLOOKUP($H74,구분표!$K$3:$M$147,3,FALSE))</x:f>
        <x:v/>
      </x:c>
      <x:c r="K74" s="233"/>
      <x:c r="L74" s="233"/>
      <x:c r="M74" s="459" t="str">
        <x:f t="shared" si="323"/>
        <x:v/>
      </x:c>
      <x:c r="N74" s="459" t="str">
        <x:f t="shared" si="324"/>
        <x:v/>
      </x:c>
      <x:c r="O74" s="461" t="str">
        <x:f t="shared" si="309"/>
        <x:v/>
      </x:c>
      <x:c r="P74" s="460"/>
      <x:c r="Q74" s="461">
        <x:f t="shared" si="310"/>
        <x:v>0</x:v>
      </x:c>
      <x:c r="R74" s="462"/>
      <x:c r="S74" s="463">
        <x:f t="shared" si="311"/>
        <x:v>0</x:v>
      </x:c>
      <x:c r="T74" s="162" t="str">
        <x:f t="shared" si="312"/>
        <x:v>X</x:v>
      </x:c>
      <x:c r="U74" s="230"/>
      <x:c r="V74" s="224"/>
      <x:c r="W74" s="217"/>
      <x:c r="X74" s="234"/>
      <x:c r="Y74" s="217"/>
      <x:c r="Z74" s="356" t="str">
        <x:f t="shared" si="313"/>
        <x:v/>
      </x:c>
      <x:c r="AA74" s="61"/>
      <x:c r="AB74" s="486" t="str">
        <x:f t="shared" si="314"/>
        <x:v/>
      </x:c>
      <x:c r="AC74" s="487">
        <x:f t="shared" si="315"/>
        <x:v>0</x:v>
      </x:c>
      <x:c r="AD74" s="356" t="str">
        <x:f t="shared" si="325"/>
        <x:v>OK</x:v>
      </x:c>
      <x:c r="AE74" s="8"/>
      <x:c r="AF74" s="502" t="str">
        <x:f t="shared" si="316"/>
        <x:v/>
      </x:c>
      <x:c r="AG74" s="503">
        <x:f t="shared" si="317"/>
        <x:v>0</x:v>
      </x:c>
      <x:c r="AH74" s="381" t="str">
        <x:f t="shared" si="326"/>
        <x:v>OK</x:v>
      </x:c>
      <x:c r="AI74" s="8"/>
      <x:c r="AJ74" s="221" t="str">
        <x:f t="shared" si="318"/>
        <x:v/>
      </x:c>
      <x:c r="AK74" s="356" t="str">
        <x:f t="shared" si="319"/>
        <x:v/>
      </x:c>
      <x:c r="AL74" s="356" t="str">
        <x:f t="shared" si="320"/>
        <x:v/>
      </x:c>
      <x:c r="AM74" s="356" t="str">
        <x:f t="shared" si="321"/>
        <x:v/>
      </x:c>
      <x:c r="AN74" s="356" t="str">
        <x:f>IF($AM74="","",IF($AM74="도비","OK",IF($AJ74="세입없음","OK",IF($AJ74="세입번호입력","@@",IF(VLOOKUP($AJ74,'5. 기입'!$AH$6:$AI$1012,2,FALSE)='5. 기출'!$AM74,"OK","@@")))))</x:f>
        <x:v/>
      </x:c>
    </x:row>
    <x:row r="75" spans="1:40" ht="60" customHeight="1">
      <x:c r="A75" s="167"/>
      <x:c r="B75" s="888" t="s">
        <x:v>1463</x:v>
      </x:c>
      <x:c r="C75" s="888"/>
      <x:c r="D75" s="888"/>
      <x:c r="E75" s="888"/>
      <x:c r="F75" s="888"/>
      <x:c r="G75" s="888"/>
      <x:c r="H75" s="888"/>
      <x:c r="I75" s="888"/>
      <x:c r="J75" s="888"/>
      <x:c r="K75" s="83"/>
      <x:c r="L75" s="363" t="str">
        <x:f>SUBTOTAL(3,L76:L78)&amp;"건"</x:f>
        <x:v>0건</x:v>
      </x:c>
      <x:c r="M75" s="477">
        <x:f>SUBTOTAL(9,M76:M78)</x:f>
        <x:v>0</x:v>
      </x:c>
      <x:c r="N75" s="477">
        <x:f t="shared" ref="N75:S75" si="327">SUBTOTAL(9,N76:N78)</x:f>
        <x:v>0</x:v>
      </x:c>
      <x:c r="O75" s="477">
        <x:f t="shared" si="327"/>
        <x:v>0</x:v>
      </x:c>
      <x:c r="P75" s="477">
        <x:f t="shared" si="327"/>
        <x:v>0</x:v>
      </x:c>
      <x:c r="Q75" s="477">
        <x:f t="shared" si="327"/>
        <x:v>0</x:v>
      </x:c>
      <x:c r="R75" s="477">
        <x:f t="shared" si="327"/>
        <x:v>0</x:v>
      </x:c>
      <x:c r="S75" s="477">
        <x:f t="shared" si="327"/>
        <x:v>0</x:v>
      </x:c>
      <x:c r="T75" s="82"/>
      <x:c r="U75" s="84"/>
      <x:c r="V75" s="84"/>
      <x:c r="W75" s="85"/>
      <x:c r="X75" s="56"/>
      <x:c r="Y75" s="86"/>
      <x:c r="Z75" s="82"/>
      <x:c r="AA75" s="44"/>
      <x:c r="AB75" s="477">
        <x:f t="shared" ref="AB75:AC75" si="328">SUBTOTAL(9,AB76:AB78)</x:f>
        <x:v>0</x:v>
      </x:c>
      <x:c r="AC75" s="477">
        <x:f t="shared" si="328"/>
        <x:v>0</x:v>
      </x:c>
      <x:c r="AD75" s="556" t="str">
        <x:f>IF(COUNTIF(AD76:AD78,"@@")&gt;0,"@@","OK")</x:f>
        <x:v>OK</x:v>
      </x:c>
      <x:c r="AE75" s="53"/>
      <x:c r="AF75" s="477">
        <x:f t="shared" ref="AF75:AG75" si="329">SUBTOTAL(9,AF76:AF78)</x:f>
        <x:v>0</x:v>
      </x:c>
      <x:c r="AG75" s="477">
        <x:f t="shared" si="329"/>
        <x:v>0</x:v>
      </x:c>
      <x:c r="AH75" s="556" t="str">
        <x:f>IF(COUNTIF(AH76:AH78,"@@")&gt;0,"@@","OK")</x:f>
        <x:v>OK</x:v>
      </x:c>
      <x:c r="AI75" s="44"/>
      <x:c r="AJ75" s="81"/>
      <x:c r="AK75" s="81"/>
      <x:c r="AL75" s="556" t="str">
        <x:f>IF(COUNTIF(AL76:AL78,"@@")&gt;0,"@@","OK")</x:f>
        <x:v>OK</x:v>
      </x:c>
      <x:c r="AM75" s="81"/>
      <x:c r="AN75" s="556" t="str">
        <x:f>IF(COUNTIF(AN76:AN78,"@@")&gt;0,"@@","OK")</x:f>
        <x:v>OK</x:v>
      </x:c>
    </x:row>
    <x:row r="76" spans="1:40" s="20" customFormat="1" ht="80.099999999999994" customHeight="1">
      <x:c r="A76" s="155" t="str">
        <x:f>IF(D76="","",COUNTA($C$7:C76)-COUNTBLANK($C$7:C76)+18)</x:f>
        <x:v/>
      </x:c>
      <x:c r="B76" s="156" t="str">
        <x: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x:f>
        <x:v/>
      </x:c>
      <x:c r="C76" s="156" t="str">
        <x:f>IF(D76="","",IF(OR(D76="교육지원과",D76="총무과",D76="인사과"),"직접입력",VLOOKUP(D76,구분표!$A$3:$C$258,3,)))</x:f>
        <x:v/>
      </x:c>
      <x:c r="D76" s="226"/>
      <x:c r="E76" s="213"/>
      <x:c r="F76" s="388" t="str">
        <x:f>IF($E76="","",IF($E76="2추","직접입력","-"))</x:f>
        <x:v/>
      </x:c>
      <x:c r="G76" s="388" t="str">
        <x:f>IF($E76="","",IF($E76="2추","직접입력","-"))</x:f>
        <x:v/>
      </x:c>
      <x:c r="H76" s="213"/>
      <x:c r="I76" s="156" t="str">
        <x:f>IF(H76="","",VLOOKUP($H76,구분표!$K$3:$M$147,2,FALSE))</x:f>
        <x:v/>
      </x:c>
      <x:c r="J76" s="156" t="str">
        <x:f>IF(I76="","",VLOOKUP($H76,구분표!$K$3:$M$147,3,FALSE))</x:f>
        <x:v/>
      </x:c>
      <x:c r="K76" s="233"/>
      <x:c r="L76" s="233"/>
      <x:c r="M76" s="459" t="str">
        <x:f>IF($E76="","",IF(OR($E76="2추",$E76="1추",$E76="본예산"),"금액입력","-"))</x:f>
        <x:v/>
      </x:c>
      <x:c r="N76" s="459" t="str">
        <x:f>IF($E76="","",IF($E76="2추","금액입력","-"))</x:f>
        <x:v/>
      </x:c>
      <x:c r="O76" s="461" t="str">
        <x:f t="shared" ref="O76:O78" si="330">IF($E76="","",SUM(M76:N76))</x:f>
        <x:v/>
      </x:c>
      <x:c r="P76" s="460"/>
      <x:c r="Q76" s="461">
        <x:f t="shared" ref="Q76:Q78" si="331">SUM(O76:P76)</x:f>
        <x:v>0</x:v>
      </x:c>
      <x:c r="R76" s="462"/>
      <x:c r="S76" s="463">
        <x:f t="shared" ref="S76:S78" si="332">SUM(O76,R76)</x:f>
        <x:v>0</x:v>
      </x:c>
      <x:c r="T76" s="162" t="str">
        <x:f t="shared" ref="T76:T78" si="333">IF(AND((Q76=0),(S76&gt;0)),"O",IF(AND((P76&lt;0),(Q76-S76&lt;0)),"O","X"))</x:f>
        <x:v>X</x:v>
      </x:c>
      <x:c r="U76" s="230"/>
      <x:c r="V76" s="224"/>
      <x:c r="W76" s="217"/>
      <x:c r="X76" s="234"/>
      <x:c r="Y76" s="217"/>
      <x:c r="Z76" s="356" t="str">
        <x:f t="shared" ref="Z76:Z78" si="334">IF($K76="","",IF(COUNT(FIND("국비/",$K76)),"국도비",IF(COUNT(FIND("균특/",$K76)),"국도비",IF(COUNT(FIND("기금/",$K76)),"국도비",IF(COUNT(FIND("교부세/",$K76)),"국도비",IF(COUNT(FIND("소방안전/",$K76)),"국도비",IF(COUNT(FIND("소멸대응/",$K76)),"국도비","도비")))))))</x:f>
        <x:v/>
      </x:c>
      <x:c r="AA76" s="61"/>
      <x:c r="AB76" s="486" t="str">
        <x:f t="shared" ref="AB76:AB78" si="335">IF($Z76="","",IF($Z76="국도비","금액입력",0))</x:f>
        <x:v/>
      </x:c>
      <x:c r="AC76" s="487">
        <x:f t="shared" ref="AC76:AC78" si="336">IFERROR(P76-AB76,0)</x:f>
        <x:v>0</x:v>
      </x:c>
      <x:c r="AD76" s="356" t="str">
        <x:f t="shared" ref="AD76:AD78" si="337">IF($P76=SUM($AB76:$AC76),"OK","@@")</x:f>
        <x:v>OK</x:v>
      </x:c>
      <x:c r="AE76" s="8"/>
      <x:c r="AF76" s="502" t="str">
        <x:f t="shared" ref="AF76:AF78" si="338">IF($Z76="","",IF($Z76="국도비","금액입력",0))</x:f>
        <x:v/>
      </x:c>
      <x:c r="AG76" s="503">
        <x:f t="shared" ref="AG76:AG78" si="339">IFERROR(R76-AF76,0)</x:f>
        <x:v>0</x:v>
      </x:c>
      <x:c r="AH76" s="381" t="str">
        <x:f t="shared" ref="AH76:AH78" si="340">IF($R76=SUM($AF76:$AG76),"OK","@@")</x:f>
        <x:v>OK</x:v>
      </x:c>
      <x:c r="AI76" s="8"/>
      <x:c r="AJ76" s="221" t="str">
        <x:f t="shared" ref="AJ76:AJ78" si="341">IF($Z76="","",IF($Z76="도비","-","세입번호입력"))</x:f>
        <x:v/>
      </x:c>
      <x:c r="AK76" s="356" t="str">
        <x:f t="shared" ref="AK76:AK78" si="342">IF(OR(AJ76="",AJ76="-",AJ76="세입번호입력"),"",COUNTIF($AJ$7:$AJ$1013,AJ76))</x:f>
        <x:v/>
      </x:c>
      <x:c r="AL76" s="356" t="str">
        <x:f t="shared" ref="AL76:AL78" si="343">IF($AJ76="","",IF($Z76="도비","OK",IF(AND($Z76="국도비",$AJ76="세입없음"),"OK",IF(AND($Z76="국도비",$AJ76="세입번호입력"),"@@","OK"))))</x:f>
        <x:v/>
      </x:c>
      <x:c r="AM76" s="356" t="str">
        <x:f t="shared" ref="AM76:AM78" si="344">IF($K76="","",IF(COUNT(FIND("국비/",$K76)),"국비",IF(COUNT(FIND("균특/",$K76)),"균특",IF(COUNT(FIND("기금/",$K76)),"기금",IF(COUNT(FIND("교부세/",$K76)),"특교",IF(COUNT(FIND("소방안전/",$K76)),"소교",IF(COUNT(FIND("소멸대응/",$K76)),"소멸","도비")))))))</x:f>
        <x:v/>
      </x:c>
      <x:c r="AN76" s="356" t="str">
        <x:f>IF($AM76="","",IF($AM76="도비","OK",IF($AJ76="세입없음","OK",IF($AJ76="세입번호입력","@@",IF(VLOOKUP($AJ76,'5. 기입'!$AH$6:$AI$1012,2,FALSE)='5. 기출'!$AM76,"OK","@@")))))</x:f>
        <x:v/>
      </x:c>
    </x:row>
    <x:row r="77" spans="1:40" s="20" customFormat="1" ht="80.099999999999994" customHeight="1">
      <x:c r="A77" s="155" t="str">
        <x:f>IF(D77="","",COUNTA($C$7:C77)-COUNTBLANK($C$7:C77)+18)</x:f>
        <x:v/>
      </x:c>
      <x:c r="B77" s="156" t="str">
        <x: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x:f>
        <x:v/>
      </x:c>
      <x:c r="C77" s="156" t="str">
        <x:f>IF(D77="","",IF(OR(D77="교육지원과",D77="총무과",D77="인사과"),"직접입력",VLOOKUP(D77,구분표!$A$3:$C$258,3,)))</x:f>
        <x:v/>
      </x:c>
      <x:c r="D77" s="226"/>
      <x:c r="E77" s="213"/>
      <x:c r="F77" s="388" t="str">
        <x:f t="shared" ref="F77:G78" si="345">IF($E77="","",IF($E77="2추","직접입력","-"))</x:f>
        <x:v/>
      </x:c>
      <x:c r="G77" s="388" t="str">
        <x:f t="shared" si="345"/>
        <x:v/>
      </x:c>
      <x:c r="H77" s="213"/>
      <x:c r="I77" s="156" t="str">
        <x:f>IF(H77="","",VLOOKUP($H77,구분표!$K$3:$M$147,2,FALSE))</x:f>
        <x:v/>
      </x:c>
      <x:c r="J77" s="156" t="str">
        <x:f>IF(I77="","",VLOOKUP($H77,구분표!$K$3:$M$147,3,FALSE))</x:f>
        <x:v/>
      </x:c>
      <x:c r="K77" s="233"/>
      <x:c r="L77" s="233"/>
      <x:c r="M77" s="459" t="str">
        <x:f t="shared" ref="M77:M78" si="346">IF($E77="","",IF(OR($E77="2추",$E77="1추",$E77="본예산"),"금액입력","-"))</x:f>
        <x:v/>
      </x:c>
      <x:c r="N77" s="459" t="str">
        <x:f t="shared" ref="N77:N78" si="347">IF($E77="","",IF($E77="2추","금액입력","-"))</x:f>
        <x:v/>
      </x:c>
      <x:c r="O77" s="461" t="str">
        <x:f t="shared" si="330"/>
        <x:v/>
      </x:c>
      <x:c r="P77" s="460"/>
      <x:c r="Q77" s="461">
        <x:f t="shared" si="331"/>
        <x:v>0</x:v>
      </x:c>
      <x:c r="R77" s="462"/>
      <x:c r="S77" s="463">
        <x:f t="shared" si="332"/>
        <x:v>0</x:v>
      </x:c>
      <x:c r="T77" s="162" t="str">
        <x:f t="shared" si="333"/>
        <x:v>X</x:v>
      </x:c>
      <x:c r="U77" s="230"/>
      <x:c r="V77" s="224"/>
      <x:c r="W77" s="217"/>
      <x:c r="X77" s="234"/>
      <x:c r="Y77" s="217"/>
      <x:c r="Z77" s="356" t="str">
        <x:f t="shared" si="334"/>
        <x:v/>
      </x:c>
      <x:c r="AA77" s="61"/>
      <x:c r="AB77" s="486" t="str">
        <x:f t="shared" si="335"/>
        <x:v/>
      </x:c>
      <x:c r="AC77" s="487">
        <x:f t="shared" si="336"/>
        <x:v>0</x:v>
      </x:c>
      <x:c r="AD77" s="356" t="str">
        <x:f t="shared" si="337"/>
        <x:v>OK</x:v>
      </x:c>
      <x:c r="AE77" s="8"/>
      <x:c r="AF77" s="502" t="str">
        <x:f t="shared" si="338"/>
        <x:v/>
      </x:c>
      <x:c r="AG77" s="503">
        <x:f t="shared" si="339"/>
        <x:v>0</x:v>
      </x:c>
      <x:c r="AH77" s="381" t="str">
        <x:f t="shared" si="340"/>
        <x:v>OK</x:v>
      </x:c>
      <x:c r="AI77" s="8"/>
      <x:c r="AJ77" s="221" t="str">
        <x:f t="shared" si="341"/>
        <x:v/>
      </x:c>
      <x:c r="AK77" s="356" t="str">
        <x:f t="shared" si="342"/>
        <x:v/>
      </x:c>
      <x:c r="AL77" s="356" t="str">
        <x:f t="shared" si="343"/>
        <x:v/>
      </x:c>
      <x:c r="AM77" s="356" t="str">
        <x:f t="shared" si="344"/>
        <x:v/>
      </x:c>
      <x:c r="AN77" s="356" t="str">
        <x:f>IF($AM77="","",IF($AM77="도비","OK",IF($AJ77="세입없음","OK",IF($AJ77="세입번호입력","@@",IF(VLOOKUP($AJ77,'5. 기입'!$AH$6:$AI$1012,2,FALSE)='5. 기출'!$AM77,"OK","@@")))))</x:f>
        <x:v/>
      </x:c>
    </x:row>
    <x:row r="78" spans="1:40" s="20" customFormat="1" ht="80.099999999999994" customHeight="1">
      <x:c r="A78" s="155" t="str">
        <x:f>IF(D78="","",COUNTA($C$7:C78)-COUNTBLANK($C$7:C78)+18)</x:f>
        <x:v/>
      </x:c>
      <x:c r="B78" s="156" t="str">
        <x: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x:f>
        <x:v/>
      </x:c>
      <x:c r="C78" s="156" t="str">
        <x:f>IF(D78="","",IF(OR(D78="교육지원과",D78="총무과",D78="인사과"),"직접입력",VLOOKUP(D78,구분표!$A$3:$C$258,3,)))</x:f>
        <x:v/>
      </x:c>
      <x:c r="D78" s="226"/>
      <x:c r="E78" s="213"/>
      <x:c r="F78" s="388" t="str">
        <x:f t="shared" si="345"/>
        <x:v/>
      </x:c>
      <x:c r="G78" s="388" t="str">
        <x:f t="shared" si="345"/>
        <x:v/>
      </x:c>
      <x:c r="H78" s="213"/>
      <x:c r="I78" s="156" t="str">
        <x:f>IF(H78="","",VLOOKUP($H78,구분표!$K$3:$M$147,2,FALSE))</x:f>
        <x:v/>
      </x:c>
      <x:c r="J78" s="156" t="str">
        <x:f>IF(I78="","",VLOOKUP($H78,구분표!$K$3:$M$147,3,FALSE))</x:f>
        <x:v/>
      </x:c>
      <x:c r="K78" s="233"/>
      <x:c r="L78" s="233"/>
      <x:c r="M78" s="459" t="str">
        <x:f t="shared" si="346"/>
        <x:v/>
      </x:c>
      <x:c r="N78" s="459" t="str">
        <x:f t="shared" si="347"/>
        <x:v/>
      </x:c>
      <x:c r="O78" s="461" t="str">
        <x:f t="shared" si="330"/>
        <x:v/>
      </x:c>
      <x:c r="P78" s="460"/>
      <x:c r="Q78" s="461">
        <x:f t="shared" si="331"/>
        <x:v>0</x:v>
      </x:c>
      <x:c r="R78" s="462"/>
      <x:c r="S78" s="463">
        <x:f t="shared" si="332"/>
        <x:v>0</x:v>
      </x:c>
      <x:c r="T78" s="162" t="str">
        <x:f t="shared" si="333"/>
        <x:v>X</x:v>
      </x:c>
      <x:c r="U78" s="230"/>
      <x:c r="V78" s="224"/>
      <x:c r="W78" s="217"/>
      <x:c r="X78" s="234"/>
      <x:c r="Y78" s="217"/>
      <x:c r="Z78" s="356" t="str">
        <x:f t="shared" si="334"/>
        <x:v/>
      </x:c>
      <x:c r="AA78" s="61"/>
      <x:c r="AB78" s="486" t="str">
        <x:f t="shared" si="335"/>
        <x:v/>
      </x:c>
      <x:c r="AC78" s="487">
        <x:f t="shared" si="336"/>
        <x:v>0</x:v>
      </x:c>
      <x:c r="AD78" s="356" t="str">
        <x:f t="shared" si="337"/>
        <x:v>OK</x:v>
      </x:c>
      <x:c r="AE78" s="8"/>
      <x:c r="AF78" s="502" t="str">
        <x:f t="shared" si="338"/>
        <x:v/>
      </x:c>
      <x:c r="AG78" s="503">
        <x:f t="shared" si="339"/>
        <x:v>0</x:v>
      </x:c>
      <x:c r="AH78" s="381" t="str">
        <x:f t="shared" si="340"/>
        <x:v>OK</x:v>
      </x:c>
      <x:c r="AI78" s="8"/>
      <x:c r="AJ78" s="221" t="str">
        <x:f t="shared" si="341"/>
        <x:v/>
      </x:c>
      <x:c r="AK78" s="356" t="str">
        <x:f t="shared" si="342"/>
        <x:v/>
      </x:c>
      <x:c r="AL78" s="356" t="str">
        <x:f t="shared" si="343"/>
        <x:v/>
      </x:c>
      <x:c r="AM78" s="356" t="str">
        <x:f t="shared" si="344"/>
        <x:v/>
      </x:c>
      <x:c r="AN78" s="356" t="str">
        <x:f>IF($AM78="","",IF($AM78="도비","OK",IF($AJ78="세입없음","OK",IF($AJ78="세입번호입력","@@",IF(VLOOKUP($AJ78,'5. 기입'!$AH$6:$AI$1012,2,FALSE)='5. 기출'!$AM78,"OK","@@")))))</x:f>
        <x:v/>
      </x:c>
    </x:row>
    <x:row r="79" spans="1:40" ht="60" customHeight="1">
      <x:c r="A79" s="167"/>
      <x:c r="B79" s="888" t="s">
        <x:v>1447</x:v>
      </x:c>
      <x:c r="C79" s="888"/>
      <x:c r="D79" s="888"/>
      <x:c r="E79" s="888"/>
      <x:c r="F79" s="888"/>
      <x:c r="G79" s="888"/>
      <x:c r="H79" s="888"/>
      <x:c r="I79" s="888"/>
      <x:c r="J79" s="888"/>
      <x:c r="K79" s="83"/>
      <x:c r="L79" s="363" t="str">
        <x:f>SUBTOTAL(3,L80:L82)&amp;"건"</x:f>
        <x:v>0건</x:v>
      </x:c>
      <x:c r="M79" s="477">
        <x:f t="shared" ref="M79:S79" si="348">SUBTOTAL(9,M80:M82)</x:f>
        <x:v>0</x:v>
      </x:c>
      <x:c r="N79" s="477">
        <x:f t="shared" si="348"/>
        <x:v>0</x:v>
      </x:c>
      <x:c r="O79" s="477">
        <x:f t="shared" si="348"/>
        <x:v>0</x:v>
      </x:c>
      <x:c r="P79" s="477">
        <x:f t="shared" si="348"/>
        <x:v>0</x:v>
      </x:c>
      <x:c r="Q79" s="477">
        <x:f t="shared" si="348"/>
        <x:v>0</x:v>
      </x:c>
      <x:c r="R79" s="477">
        <x:f t="shared" si="348"/>
        <x:v>0</x:v>
      </x:c>
      <x:c r="S79" s="477">
        <x:f t="shared" si="348"/>
        <x:v>0</x:v>
      </x:c>
      <x:c r="T79" s="82"/>
      <x:c r="U79" s="84"/>
      <x:c r="V79" s="84"/>
      <x:c r="W79" s="85"/>
      <x:c r="Y79" s="86"/>
      <x:c r="Z79" s="82"/>
      <x:c r="AA79" s="44"/>
      <x:c r="AB79" s="477">
        <x:f t="shared" ref="AB79:AC79" si="349">SUBTOTAL(9,AB80:AB82)</x:f>
        <x:v>0</x:v>
      </x:c>
      <x:c r="AC79" s="477">
        <x:f t="shared" si="349"/>
        <x:v>0</x:v>
      </x:c>
      <x:c r="AD79" s="556" t="str">
        <x:f>IF(COUNTIF(AD80:AD82,"@@")&gt;0,"@@","OK")</x:f>
        <x:v>OK</x:v>
      </x:c>
      <x:c r="AE79" s="53"/>
      <x:c r="AF79" s="477">
        <x:f t="shared" ref="AF79:AG79" si="350">SUBTOTAL(9,AF80:AF82)</x:f>
        <x:v>0</x:v>
      </x:c>
      <x:c r="AG79" s="477">
        <x:f t="shared" si="350"/>
        <x:v>0</x:v>
      </x:c>
      <x:c r="AH79" s="556" t="str">
        <x:f>IF(COUNTIF(AH80:AH82,"@@")&gt;0,"@@","OK")</x:f>
        <x:v>OK</x:v>
      </x:c>
      <x:c r="AI79" s="44"/>
      <x:c r="AJ79" s="81"/>
      <x:c r="AK79" s="81"/>
      <x:c r="AL79" s="556" t="str">
        <x:f>IF(COUNTIF(AL80:AL82,"@@")&gt;0,"@@","OK")</x:f>
        <x:v>OK</x:v>
      </x:c>
      <x:c r="AM79" s="81"/>
      <x:c r="AN79" s="556" t="str">
        <x:f>IF(COUNTIF(AN80:AN82,"@@")&gt;0,"@@","OK")</x:f>
        <x:v>OK</x:v>
      </x:c>
    </x:row>
    <x:row r="80" spans="1:40" s="20" customFormat="1" ht="80.099999999999994" customHeight="1">
      <x:c r="A80" s="155" t="str">
        <x:f>IF(D80="","",COUNTA($C$7:C80)-COUNTBLANK($C$7:C80)+19)</x:f>
        <x:v/>
      </x:c>
      <x:c r="B80" s="156" t="str">
        <x: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x:f>
        <x:v/>
      </x:c>
      <x:c r="C80" s="156" t="str">
        <x:f>IF(D80="","",IF(OR(D80="교육지원과",D80="총무과",D80="인사과"),"직접입력",VLOOKUP(D80,구분표!$A$3:$C$258,3,)))</x:f>
        <x:v/>
      </x:c>
      <x:c r="D80" s="226"/>
      <x:c r="E80" s="213"/>
      <x:c r="F80" s="388" t="str">
        <x:f>IF($E80="","",IF($E80="2추","직접입력","-"))</x:f>
        <x:v/>
      </x:c>
      <x:c r="G80" s="388" t="str">
        <x:f>IF($E80="","",IF($E80="2추","직접입력","-"))</x:f>
        <x:v/>
      </x:c>
      <x:c r="H80" s="213"/>
      <x:c r="I80" s="156" t="str">
        <x:f>IF(H80="","",VLOOKUP($H80,구분표!$K$3:$M$147,2,FALSE))</x:f>
        <x:v/>
      </x:c>
      <x:c r="J80" s="156" t="str">
        <x:f>IF(I80="","",VLOOKUP($H80,구분표!$K$3:$M$147,3,FALSE))</x:f>
        <x:v/>
      </x:c>
      <x:c r="K80" s="233"/>
      <x:c r="L80" s="233"/>
      <x:c r="M80" s="459" t="str">
        <x:f>IF($E80="","",IF(OR($E80="2추",$E80="1추",$E80="본예산"),"금액입력","-"))</x:f>
        <x:v/>
      </x:c>
      <x:c r="N80" s="459" t="str">
        <x:f>IF($E80="","",IF($E80="2추","금액입력","-"))</x:f>
        <x:v/>
      </x:c>
      <x:c r="O80" s="461" t="str">
        <x:f t="shared" ref="O80:O82" si="351">IF($E80="","",SUM(M80:N80))</x:f>
        <x:v/>
      </x:c>
      <x:c r="P80" s="460"/>
      <x:c r="Q80" s="461">
        <x:f t="shared" ref="Q80:Q82" si="352">SUM(O80:P80)</x:f>
        <x:v>0</x:v>
      </x:c>
      <x:c r="R80" s="462"/>
      <x:c r="S80" s="463">
        <x:f t="shared" ref="S80:S82" si="353">SUM(O80,R80)</x:f>
        <x:v>0</x:v>
      </x:c>
      <x:c r="T80" s="162" t="str">
        <x:f t="shared" ref="T80:T82" si="354">IF(AND((Q80=0),(S80&gt;0)),"O",IF(AND((P80&lt;0),(Q80-S80&lt;0)),"O","X"))</x:f>
        <x:v>X</x:v>
      </x:c>
      <x:c r="U80" s="230"/>
      <x:c r="V80" s="224"/>
      <x:c r="W80" s="217"/>
      <x:c r="X80" s="234"/>
      <x:c r="Y80" s="217"/>
      <x:c r="Z80" s="356" t="str">
        <x:f t="shared" ref="Z80:Z82" si="355">IF($K80="","",IF(COUNT(FIND("국비/",$K80)),"국도비",IF(COUNT(FIND("균특/",$K80)),"국도비",IF(COUNT(FIND("기금/",$K80)),"국도비",IF(COUNT(FIND("교부세/",$K80)),"국도비",IF(COUNT(FIND("소방안전/",$K80)),"국도비",IF(COUNT(FIND("소멸대응/",$K80)),"국도비","도비")))))))</x:f>
        <x:v/>
      </x:c>
      <x:c r="AA80" s="61"/>
      <x:c r="AB80" s="486" t="str">
        <x:f t="shared" ref="AB80:AB82" si="356">IF($Z80="","",IF($Z80="국도비","금액입력",0))</x:f>
        <x:v/>
      </x:c>
      <x:c r="AC80" s="487">
        <x:f t="shared" ref="AC80:AC82" si="357">IFERROR(P80-AB80,0)</x:f>
        <x:v>0</x:v>
      </x:c>
      <x:c r="AD80" s="356" t="str">
        <x:f t="shared" ref="AD80:AD82" si="358">IF($P80=SUM($AB80:$AC80),"OK","@@")</x:f>
        <x:v>OK</x:v>
      </x:c>
      <x:c r="AE80" s="8"/>
      <x:c r="AF80" s="502" t="str">
        <x:f t="shared" ref="AF80:AF82" si="359">IF($Z80="","",IF($Z80="국도비","금액입력",0))</x:f>
        <x:v/>
      </x:c>
      <x:c r="AG80" s="503">
        <x:f t="shared" ref="AG80:AG82" si="360">IFERROR(R80-AF80,0)</x:f>
        <x:v>0</x:v>
      </x:c>
      <x:c r="AH80" s="381" t="str">
        <x:f t="shared" ref="AH80:AH82" si="361">IF($R80=SUM($AF80:$AG80),"OK","@@")</x:f>
        <x:v>OK</x:v>
      </x:c>
      <x:c r="AI80" s="8"/>
      <x:c r="AJ80" s="221" t="str">
        <x:f t="shared" ref="AJ80:AJ82" si="362">IF($Z80="","",IF($Z80="도비","-","세입번호입력"))</x:f>
        <x:v/>
      </x:c>
      <x:c r="AK80" s="356" t="str">
        <x:f t="shared" ref="AK80:AK82" si="363">IF(OR(AJ80="",AJ80="-",AJ80="세입번호입력"),"",COUNTIF($AJ$7:$AJ$1013,AJ80))</x:f>
        <x:v/>
      </x:c>
      <x:c r="AL80" s="356" t="str">
        <x:f t="shared" ref="AL80:AL82" si="364">IF($AJ80="","",IF($Z80="도비","OK",IF(AND($Z80="국도비",$AJ80="세입없음"),"OK",IF(AND($Z80="국도비",$AJ80="세입번호입력"),"@@","OK"))))</x:f>
        <x:v/>
      </x:c>
      <x:c r="AM80" s="356" t="str">
        <x:f t="shared" ref="AM80:AM82" si="365">IF($K80="","",IF(COUNT(FIND("국비/",$K80)),"국비",IF(COUNT(FIND("균특/",$K80)),"균특",IF(COUNT(FIND("기금/",$K80)),"기금",IF(COUNT(FIND("교부세/",$K80)),"특교",IF(COUNT(FIND("소방안전/",$K80)),"소교",IF(COUNT(FIND("소멸대응/",$K80)),"소멸","도비")))))))</x:f>
        <x:v/>
      </x:c>
      <x:c r="AN80" s="356" t="str">
        <x:f>IF($AM80="","",IF($AM80="도비","OK",IF($AJ80="세입없음","OK",IF($AJ80="세입번호입력","@@",IF(VLOOKUP($AJ80,'5. 기입'!$AH$6:$AI$1012,2,FALSE)='5. 기출'!$AM80,"OK","@@")))))</x:f>
        <x:v/>
      </x:c>
    </x:row>
    <x:row r="81" spans="1:40" s="20" customFormat="1" ht="80.099999999999994" customHeight="1">
      <x:c r="A81" s="155" t="str">
        <x:f>IF(D81="","",COUNTA($C$7:C81)-COUNTBLANK($C$7:C81)+19)</x:f>
        <x:v/>
      </x:c>
      <x:c r="B81" s="156" t="str">
        <x: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x:f>
        <x:v/>
      </x:c>
      <x:c r="C81" s="156" t="str">
        <x:f>IF(D81="","",IF(OR(D81="교육지원과",D81="총무과",D81="인사과"),"직접입력",VLOOKUP(D81,구분표!$A$3:$C$258,3,)))</x:f>
        <x:v/>
      </x:c>
      <x:c r="D81" s="226"/>
      <x:c r="E81" s="213"/>
      <x:c r="F81" s="388" t="str">
        <x:f t="shared" ref="F81:G82" si="366">IF($E81="","",IF($E81="2추","직접입력","-"))</x:f>
        <x:v/>
      </x:c>
      <x:c r="G81" s="388" t="str">
        <x:f t="shared" si="366"/>
        <x:v/>
      </x:c>
      <x:c r="H81" s="213"/>
      <x:c r="I81" s="156" t="str">
        <x:f>IF(H81="","",VLOOKUP($H81,구분표!$K$3:$M$147,2,FALSE))</x:f>
        <x:v/>
      </x:c>
      <x:c r="J81" s="156" t="str">
        <x:f>IF(I81="","",VLOOKUP($H81,구분표!$K$3:$M$147,3,FALSE))</x:f>
        <x:v/>
      </x:c>
      <x:c r="K81" s="233"/>
      <x:c r="L81" s="233"/>
      <x:c r="M81" s="459" t="str">
        <x:f t="shared" ref="M81:M82" si="367">IF($E81="","",IF(OR($E81="2추",$E81="1추",$E81="본예산"),"금액입력","-"))</x:f>
        <x:v/>
      </x:c>
      <x:c r="N81" s="459" t="str">
        <x:f t="shared" ref="N81:N82" si="368">IF($E81="","",IF($E81="2추","금액입력","-"))</x:f>
        <x:v/>
      </x:c>
      <x:c r="O81" s="461" t="str">
        <x:f t="shared" si="351"/>
        <x:v/>
      </x:c>
      <x:c r="P81" s="460"/>
      <x:c r="Q81" s="461">
        <x:f t="shared" si="352"/>
        <x:v>0</x:v>
      </x:c>
      <x:c r="R81" s="462"/>
      <x:c r="S81" s="463">
        <x:f t="shared" si="353"/>
        <x:v>0</x:v>
      </x:c>
      <x:c r="T81" s="162" t="str">
        <x:f t="shared" si="354"/>
        <x:v>X</x:v>
      </x:c>
      <x:c r="U81" s="230"/>
      <x:c r="V81" s="224"/>
      <x:c r="W81" s="217"/>
      <x:c r="X81" s="234"/>
      <x:c r="Y81" s="217"/>
      <x:c r="Z81" s="356" t="str">
        <x:f t="shared" si="355"/>
        <x:v/>
      </x:c>
      <x:c r="AA81" s="61"/>
      <x:c r="AB81" s="486" t="str">
        <x:f t="shared" si="356"/>
        <x:v/>
      </x:c>
      <x:c r="AC81" s="487">
        <x:f t="shared" si="357"/>
        <x:v>0</x:v>
      </x:c>
      <x:c r="AD81" s="356" t="str">
        <x:f t="shared" si="358"/>
        <x:v>OK</x:v>
      </x:c>
      <x:c r="AE81" s="8"/>
      <x:c r="AF81" s="502" t="str">
        <x:f t="shared" si="359"/>
        <x:v/>
      </x:c>
      <x:c r="AG81" s="503">
        <x:f t="shared" si="360"/>
        <x:v>0</x:v>
      </x:c>
      <x:c r="AH81" s="381" t="str">
        <x:f t="shared" si="361"/>
        <x:v>OK</x:v>
      </x:c>
      <x:c r="AI81" s="8"/>
      <x:c r="AJ81" s="221" t="str">
        <x:f t="shared" si="362"/>
        <x:v/>
      </x:c>
      <x:c r="AK81" s="356" t="str">
        <x:f t="shared" si="363"/>
        <x:v/>
      </x:c>
      <x:c r="AL81" s="356" t="str">
        <x:f t="shared" si="364"/>
        <x:v/>
      </x:c>
      <x:c r="AM81" s="356" t="str">
        <x:f t="shared" si="365"/>
        <x:v/>
      </x:c>
      <x:c r="AN81" s="356" t="str">
        <x:f>IF($AM81="","",IF($AM81="도비","OK",IF($AJ81="세입없음","OK",IF($AJ81="세입번호입력","@@",IF(VLOOKUP($AJ81,'5. 기입'!$AH$6:$AI$1012,2,FALSE)='5. 기출'!$AM81,"OK","@@")))))</x:f>
        <x:v/>
      </x:c>
    </x:row>
    <x:row r="82" spans="1:40" s="20" customFormat="1" ht="80.099999999999994" customHeight="1">
      <x:c r="A82" s="155" t="str">
        <x:f>IF(D82="","",COUNTA($C$7:C82)-COUNTBLANK($C$7:C82)+19)</x:f>
        <x:v/>
      </x:c>
      <x:c r="B82" s="156" t="str">
        <x: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x:f>
        <x:v/>
      </x:c>
      <x:c r="C82" s="156" t="str">
        <x:f>IF(D82="","",IF(OR(D82="교육지원과",D82="총무과",D82="인사과"),"직접입력",VLOOKUP(D82,구분표!$A$3:$C$258,3,)))</x:f>
        <x:v/>
      </x:c>
      <x:c r="D82" s="226"/>
      <x:c r="E82" s="213"/>
      <x:c r="F82" s="388" t="str">
        <x:f t="shared" si="366"/>
        <x:v/>
      </x:c>
      <x:c r="G82" s="388" t="str">
        <x:f t="shared" si="366"/>
        <x:v/>
      </x:c>
      <x:c r="H82" s="213"/>
      <x:c r="I82" s="156" t="str">
        <x:f>IF(H82="","",VLOOKUP($H82,구분표!$K$3:$M$147,2,FALSE))</x:f>
        <x:v/>
      </x:c>
      <x:c r="J82" s="156" t="str">
        <x:f>IF(I82="","",VLOOKUP($H82,구분표!$K$3:$M$147,3,FALSE))</x:f>
        <x:v/>
      </x:c>
      <x:c r="K82" s="233"/>
      <x:c r="L82" s="233"/>
      <x:c r="M82" s="459" t="str">
        <x:f t="shared" si="367"/>
        <x:v/>
      </x:c>
      <x:c r="N82" s="459" t="str">
        <x:f t="shared" si="368"/>
        <x:v/>
      </x:c>
      <x:c r="O82" s="461" t="str">
        <x:f t="shared" si="351"/>
        <x:v/>
      </x:c>
      <x:c r="P82" s="460"/>
      <x:c r="Q82" s="461">
        <x:f t="shared" si="352"/>
        <x:v>0</x:v>
      </x:c>
      <x:c r="R82" s="462"/>
      <x:c r="S82" s="463">
        <x:f t="shared" si="353"/>
        <x:v>0</x:v>
      </x:c>
      <x:c r="T82" s="162" t="str">
        <x:f t="shared" si="354"/>
        <x:v>X</x:v>
      </x:c>
      <x:c r="U82" s="230"/>
      <x:c r="V82" s="224"/>
      <x:c r="W82" s="217"/>
      <x:c r="X82" s="234"/>
      <x:c r="Y82" s="217"/>
      <x:c r="Z82" s="356" t="str">
        <x:f t="shared" si="355"/>
        <x:v/>
      </x:c>
      <x:c r="AA82" s="61"/>
      <x:c r="AB82" s="486" t="str">
        <x:f t="shared" si="356"/>
        <x:v/>
      </x:c>
      <x:c r="AC82" s="487">
        <x:f t="shared" si="357"/>
        <x:v>0</x:v>
      </x:c>
      <x:c r="AD82" s="356" t="str">
        <x:f t="shared" si="358"/>
        <x:v>OK</x:v>
      </x:c>
      <x:c r="AE82" s="8"/>
      <x:c r="AF82" s="502" t="str">
        <x:f t="shared" si="359"/>
        <x:v/>
      </x:c>
      <x:c r="AG82" s="503">
        <x:f t="shared" si="360"/>
        <x:v>0</x:v>
      </x:c>
      <x:c r="AH82" s="381" t="str">
        <x:f t="shared" si="361"/>
        <x:v>OK</x:v>
      </x:c>
      <x:c r="AI82" s="8"/>
      <x:c r="AJ82" s="221" t="str">
        <x:f t="shared" si="362"/>
        <x:v/>
      </x:c>
      <x:c r="AK82" s="356" t="str">
        <x:f t="shared" si="363"/>
        <x:v/>
      </x:c>
      <x:c r="AL82" s="356" t="str">
        <x:f t="shared" si="364"/>
        <x:v/>
      </x:c>
      <x:c r="AM82" s="356" t="str">
        <x:f t="shared" si="365"/>
        <x:v/>
      </x:c>
      <x:c r="AN82" s="356" t="str">
        <x:f>IF($AM82="","",IF($AM82="도비","OK",IF($AJ82="세입없음","OK",IF($AJ82="세입번호입력","@@",IF(VLOOKUP($AJ82,'5. 기입'!$AH$6:$AI$1012,2,FALSE)='5. 기출'!$AM82,"OK","@@")))))</x:f>
        <x:v/>
      </x:c>
    </x:row>
    <x:row r="83" spans="1:40" ht="60" customHeight="1">
      <x:c r="A83" s="167"/>
      <x:c r="B83" s="888" t="s">
        <x:v>882</x:v>
      </x:c>
      <x:c r="C83" s="888"/>
      <x:c r="D83" s="888"/>
      <x:c r="E83" s="888"/>
      <x:c r="F83" s="888"/>
      <x:c r="G83" s="888"/>
      <x:c r="H83" s="888"/>
      <x:c r="I83" s="888"/>
      <x:c r="J83" s="888"/>
      <x:c r="K83" s="83"/>
      <x:c r="L83" s="363" t="str">
        <x:f>SUBTOTAL(3,L84:L86)&amp;"건"</x:f>
        <x:v>0건</x:v>
      </x:c>
      <x:c r="M83" s="477">
        <x:f t="shared" ref="M83:S83" si="369">SUBTOTAL(9,M84:M86)</x:f>
        <x:v>0</x:v>
      </x:c>
      <x:c r="N83" s="477">
        <x:f t="shared" si="369"/>
        <x:v>0</x:v>
      </x:c>
      <x:c r="O83" s="477">
        <x:f t="shared" si="369"/>
        <x:v>0</x:v>
      </x:c>
      <x:c r="P83" s="477">
        <x:f t="shared" si="369"/>
        <x:v>0</x:v>
      </x:c>
      <x:c r="Q83" s="477">
        <x:f t="shared" si="369"/>
        <x:v>0</x:v>
      </x:c>
      <x:c r="R83" s="477">
        <x:f t="shared" si="369"/>
        <x:v>0</x:v>
      </x:c>
      <x:c r="S83" s="477">
        <x:f t="shared" si="369"/>
        <x:v>0</x:v>
      </x:c>
      <x:c r="T83" s="82"/>
      <x:c r="U83" s="84"/>
      <x:c r="V83" s="84"/>
      <x:c r="W83" s="85"/>
      <x:c r="Y83" s="86"/>
      <x:c r="Z83" s="82"/>
      <x:c r="AA83" s="44"/>
      <x:c r="AB83" s="477">
        <x:f t="shared" ref="AB83:AC83" si="370">SUBTOTAL(9,AB84:AB86)</x:f>
        <x:v>0</x:v>
      </x:c>
      <x:c r="AC83" s="477">
        <x:f t="shared" si="370"/>
        <x:v>0</x:v>
      </x:c>
      <x:c r="AD83" s="556" t="str">
        <x:f>IF(COUNTIF(AD84:AD86,"@@")&gt;0,"@@","OK")</x:f>
        <x:v>OK</x:v>
      </x:c>
      <x:c r="AE83" s="53"/>
      <x:c r="AF83" s="477">
        <x:f t="shared" ref="AF83:AG83" si="371">SUBTOTAL(9,AF84:AF86)</x:f>
        <x:v>0</x:v>
      </x:c>
      <x:c r="AG83" s="477">
        <x:f t="shared" si="371"/>
        <x:v>0</x:v>
      </x:c>
      <x:c r="AH83" s="556" t="str">
        <x:f>IF(COUNTIF(AH84:AH86,"@@")&gt;0,"@@","OK")</x:f>
        <x:v>OK</x:v>
      </x:c>
      <x:c r="AI83" s="44"/>
      <x:c r="AJ83" s="81"/>
      <x:c r="AK83" s="81"/>
      <x:c r="AL83" s="556" t="str">
        <x:f>IF(COUNTIF(AL84:AL86,"@@")&gt;0,"@@","OK")</x:f>
        <x:v>OK</x:v>
      </x:c>
      <x:c r="AM83" s="81"/>
      <x:c r="AN83" s="556" t="str">
        <x:f>IF(COUNTIF(AN84:AN86,"@@")&gt;0,"@@","OK")</x:f>
        <x:v>OK</x:v>
      </x:c>
    </x:row>
    <x:row r="84" spans="1:40" s="20" customFormat="1" ht="80.099999999999994" customHeight="1">
      <x:c r="A84" s="155" t="str">
        <x:f>IF(D84="","",COUNTA($C$7:C84)-COUNTBLANK($C$7:C84)+20)</x:f>
        <x:v/>
      </x:c>
      <x:c r="B84" s="156" t="str">
        <x: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x:f>
        <x:v/>
      </x:c>
      <x:c r="C84" s="156" t="str">
        <x:f>IF(D84="","",IF(OR(D84="교육지원과",D84="총무과",D84="인사과"),"직접입력",VLOOKUP(D84,구분표!$A$3:$C$258,3,)))</x:f>
        <x:v/>
      </x:c>
      <x:c r="D84" s="226"/>
      <x:c r="E84" s="213"/>
      <x:c r="F84" s="388" t="str">
        <x:f>IF($E84="","",IF($E84="2추","직접입력","-"))</x:f>
        <x:v/>
      </x:c>
      <x:c r="G84" s="388" t="str">
        <x:f>IF($E84="","",IF($E84="2추","직접입력","-"))</x:f>
        <x:v/>
      </x:c>
      <x:c r="H84" s="213"/>
      <x:c r="I84" s="156" t="str">
        <x:f>IF(H84="","",VLOOKUP($H84,구분표!$K$3:$M$147,2,FALSE))</x:f>
        <x:v/>
      </x:c>
      <x:c r="J84" s="156" t="str">
        <x:f>IF(I84="","",VLOOKUP($H84,구분표!$K$3:$M$147,3,FALSE))</x:f>
        <x:v/>
      </x:c>
      <x:c r="K84" s="233"/>
      <x:c r="L84" s="233"/>
      <x:c r="M84" s="459" t="str">
        <x:f>IF($E84="","",IF(OR($E84="2추",$E84="1추",$E84="본예산"),"금액입력","-"))</x:f>
        <x:v/>
      </x:c>
      <x:c r="N84" s="459" t="str">
        <x:f>IF($E84="","",IF($E84="2추","금액입력","-"))</x:f>
        <x:v/>
      </x:c>
      <x:c r="O84" s="461" t="str">
        <x:f t="shared" ref="O84:O86" si="372">IF($E84="","",SUM(M84:N84))</x:f>
        <x:v/>
      </x:c>
      <x:c r="P84" s="460"/>
      <x:c r="Q84" s="461">
        <x:f t="shared" ref="Q84:Q86" si="373">SUM(O84:P84)</x:f>
        <x:v>0</x:v>
      </x:c>
      <x:c r="R84" s="462"/>
      <x:c r="S84" s="463">
        <x:f t="shared" ref="S84:S86" si="374">SUM(O84,R84)</x:f>
        <x:v>0</x:v>
      </x:c>
      <x:c r="T84" s="162" t="str">
        <x:f t="shared" ref="T84:T86" si="375">IF(AND((Q84=0),(S84&gt;0)),"O",IF(AND((P84&lt;0),(Q84-S84&lt;0)),"O","X"))</x:f>
        <x:v>X</x:v>
      </x:c>
      <x:c r="U84" s="230"/>
      <x:c r="V84" s="224"/>
      <x:c r="W84" s="217"/>
      <x:c r="X84" s="234"/>
      <x:c r="Y84" s="217"/>
      <x:c r="Z84" s="356" t="str">
        <x:f t="shared" ref="Z84:Z86" si="376">IF($K84="","",IF(COUNT(FIND("국비/",$K84)),"국도비",IF(COUNT(FIND("균특/",$K84)),"국도비",IF(COUNT(FIND("기금/",$K84)),"국도비",IF(COUNT(FIND("교부세/",$K84)),"국도비",IF(COUNT(FIND("소방안전/",$K84)),"국도비",IF(COUNT(FIND("소멸대응/",$K84)),"국도비","도비")))))))</x:f>
        <x:v/>
      </x:c>
      <x:c r="AA84" s="61"/>
      <x:c r="AB84" s="486" t="str">
        <x:f t="shared" ref="AB84:AB86" si="377">IF($Z84="","",IF($Z84="국도비","금액입력",0))</x:f>
        <x:v/>
      </x:c>
      <x:c r="AC84" s="487">
        <x:f t="shared" ref="AC84:AC86" si="378">IFERROR(P84-AB84,0)</x:f>
        <x:v>0</x:v>
      </x:c>
      <x:c r="AD84" s="356" t="str">
        <x:f t="shared" ref="AD84:AD86" si="379">IF($P84=SUM($AB84:$AC84),"OK","@@")</x:f>
        <x:v>OK</x:v>
      </x:c>
      <x:c r="AE84" s="8"/>
      <x:c r="AF84" s="502" t="str">
        <x:f t="shared" ref="AF84:AF86" si="380">IF($Z84="","",IF($Z84="국도비","금액입력",0))</x:f>
        <x:v/>
      </x:c>
      <x:c r="AG84" s="503">
        <x:f t="shared" ref="AG84:AG86" si="381">IFERROR(R84-AF84,0)</x:f>
        <x:v>0</x:v>
      </x:c>
      <x:c r="AH84" s="381" t="str">
        <x:f t="shared" ref="AH84:AH86" si="382">IF($R84=SUM($AF84:$AG84),"OK","@@")</x:f>
        <x:v>OK</x:v>
      </x:c>
      <x:c r="AI84" s="8"/>
      <x:c r="AJ84" s="221" t="str">
        <x:f t="shared" ref="AJ84:AJ86" si="383">IF($Z84="","",IF($Z84="도비","-","세입번호입력"))</x:f>
        <x:v/>
      </x:c>
      <x:c r="AK84" s="356" t="str">
        <x:f t="shared" ref="AK84:AK86" si="384">IF(OR(AJ84="",AJ84="-",AJ84="세입번호입력"),"",COUNTIF($AJ$7:$AJ$1013,AJ84))</x:f>
        <x:v/>
      </x:c>
      <x:c r="AL84" s="356" t="str">
        <x:f t="shared" ref="AL84:AL86" si="385">IF($AJ84="","",IF($Z84="도비","OK",IF(AND($Z84="국도비",$AJ84="세입없음"),"OK",IF(AND($Z84="국도비",$AJ84="세입번호입력"),"@@","OK"))))</x:f>
        <x:v/>
      </x:c>
      <x:c r="AM84" s="356" t="str">
        <x:f t="shared" ref="AM84:AM86" si="386">IF($K84="","",IF(COUNT(FIND("국비/",$K84)),"국비",IF(COUNT(FIND("균특/",$K84)),"균특",IF(COUNT(FIND("기금/",$K84)),"기금",IF(COUNT(FIND("교부세/",$K84)),"특교",IF(COUNT(FIND("소방안전/",$K84)),"소교",IF(COUNT(FIND("소멸대응/",$K84)),"소멸","도비")))))))</x:f>
        <x:v/>
      </x:c>
      <x:c r="AN84" s="356" t="str">
        <x:f>IF($AM84="","",IF($AM84="도비","OK",IF($AJ84="세입없음","OK",IF($AJ84="세입번호입력","@@",IF(VLOOKUP($AJ84,'5. 기입'!$AH$6:$AI$1012,2,FALSE)='5. 기출'!$AM84,"OK","@@")))))</x:f>
        <x:v/>
      </x:c>
    </x:row>
    <x:row r="85" spans="1:40" s="20" customFormat="1" ht="80.099999999999994" customHeight="1">
      <x:c r="A85" s="155" t="str">
        <x:f>IF(D85="","",COUNTA($C$7:C85)-COUNTBLANK($C$7:C85)+20)</x:f>
        <x:v/>
      </x:c>
      <x:c r="B85" s="156" t="str">
        <x: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x:f>
        <x:v/>
      </x:c>
      <x:c r="C85" s="156" t="str">
        <x:f>IF(D85="","",IF(OR(D85="교육지원과",D85="총무과",D85="인사과"),"직접입력",VLOOKUP(D85,구분표!$A$3:$C$258,3,)))</x:f>
        <x:v/>
      </x:c>
      <x:c r="D85" s="226"/>
      <x:c r="E85" s="213"/>
      <x:c r="F85" s="388" t="str">
        <x:f t="shared" ref="F85:G86" si="387">IF($E85="","",IF($E85="2추","직접입력","-"))</x:f>
        <x:v/>
      </x:c>
      <x:c r="G85" s="388" t="str">
        <x:f t="shared" si="387"/>
        <x:v/>
      </x:c>
      <x:c r="H85" s="213"/>
      <x:c r="I85" s="156" t="str">
        <x:f>IF(H85="","",VLOOKUP($H85,구분표!$K$3:$M$147,2,FALSE))</x:f>
        <x:v/>
      </x:c>
      <x:c r="J85" s="156" t="str">
        <x:f>IF(I85="","",VLOOKUP($H85,구분표!$K$3:$M$147,3,FALSE))</x:f>
        <x:v/>
      </x:c>
      <x:c r="K85" s="233"/>
      <x:c r="L85" s="233"/>
      <x:c r="M85" s="459" t="str">
        <x:f t="shared" ref="M85:M86" si="388">IF($E85="","",IF(OR($E85="2추",$E85="1추",$E85="본예산"),"금액입력","-"))</x:f>
        <x:v/>
      </x:c>
      <x:c r="N85" s="459" t="str">
        <x:f t="shared" ref="N85:N86" si="389">IF($E85="","",IF($E85="2추","금액입력","-"))</x:f>
        <x:v/>
      </x:c>
      <x:c r="O85" s="461" t="str">
        <x:f t="shared" si="372"/>
        <x:v/>
      </x:c>
      <x:c r="P85" s="460"/>
      <x:c r="Q85" s="461">
        <x:f t="shared" si="373"/>
        <x:v>0</x:v>
      </x:c>
      <x:c r="R85" s="462"/>
      <x:c r="S85" s="463">
        <x:f t="shared" si="374"/>
        <x:v>0</x:v>
      </x:c>
      <x:c r="T85" s="162" t="str">
        <x:f t="shared" si="375"/>
        <x:v>X</x:v>
      </x:c>
      <x:c r="U85" s="230"/>
      <x:c r="V85" s="224"/>
      <x:c r="W85" s="217"/>
      <x:c r="X85" s="234"/>
      <x:c r="Y85" s="217"/>
      <x:c r="Z85" s="356" t="str">
        <x:f t="shared" si="376"/>
        <x:v/>
      </x:c>
      <x:c r="AA85" s="61"/>
      <x:c r="AB85" s="486" t="str">
        <x:f t="shared" si="377"/>
        <x:v/>
      </x:c>
      <x:c r="AC85" s="487">
        <x:f t="shared" si="378"/>
        <x:v>0</x:v>
      </x:c>
      <x:c r="AD85" s="356" t="str">
        <x:f t="shared" si="379"/>
        <x:v>OK</x:v>
      </x:c>
      <x:c r="AE85" s="8"/>
      <x:c r="AF85" s="502" t="str">
        <x:f t="shared" si="380"/>
        <x:v/>
      </x:c>
      <x:c r="AG85" s="503">
        <x:f t="shared" si="381"/>
        <x:v>0</x:v>
      </x:c>
      <x:c r="AH85" s="381" t="str">
        <x:f t="shared" si="382"/>
        <x:v>OK</x:v>
      </x:c>
      <x:c r="AI85" s="8"/>
      <x:c r="AJ85" s="221" t="str">
        <x:f t="shared" si="383"/>
        <x:v/>
      </x:c>
      <x:c r="AK85" s="356" t="str">
        <x:f t="shared" si="384"/>
        <x:v/>
      </x:c>
      <x:c r="AL85" s="356" t="str">
        <x:f t="shared" si="385"/>
        <x:v/>
      </x:c>
      <x:c r="AM85" s="356" t="str">
        <x:f t="shared" si="386"/>
        <x:v/>
      </x:c>
      <x:c r="AN85" s="356" t="str">
        <x:f>IF($AM85="","",IF($AM85="도비","OK",IF($AJ85="세입없음","OK",IF($AJ85="세입번호입력","@@",IF(VLOOKUP($AJ85,'5. 기입'!$AH$6:$AI$1012,2,FALSE)='5. 기출'!$AM85,"OK","@@")))))</x:f>
        <x:v/>
      </x:c>
    </x:row>
    <x:row r="86" spans="1:40" s="20" customFormat="1" ht="80.099999999999994" customHeight="1">
      <x:c r="A86" s="155" t="str">
        <x:f>IF(D86="","",COUNTA($C$7:C86)-COUNTBLANK($C$7:C86)+20)</x:f>
        <x:v/>
      </x:c>
      <x:c r="B86" s="156" t="str">
        <x: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x:f>
        <x:v/>
      </x:c>
      <x:c r="C86" s="156" t="str">
        <x:f>IF(D86="","",IF(OR(D86="교육지원과",D86="총무과",D86="인사과"),"직접입력",VLOOKUP(D86,구분표!$A$3:$C$258,3,)))</x:f>
        <x:v/>
      </x:c>
      <x:c r="D86" s="226"/>
      <x:c r="E86" s="213"/>
      <x:c r="F86" s="388" t="str">
        <x:f t="shared" si="387"/>
        <x:v/>
      </x:c>
      <x:c r="G86" s="388" t="str">
        <x:f t="shared" si="387"/>
        <x:v/>
      </x:c>
      <x:c r="H86" s="213"/>
      <x:c r="I86" s="156" t="str">
        <x:f>IF(H86="","",VLOOKUP($H86,구분표!$K$3:$M$147,2,FALSE))</x:f>
        <x:v/>
      </x:c>
      <x:c r="J86" s="156" t="str">
        <x:f>IF(I86="","",VLOOKUP($H86,구분표!$K$3:$M$147,3,FALSE))</x:f>
        <x:v/>
      </x:c>
      <x:c r="K86" s="233"/>
      <x:c r="L86" s="233"/>
      <x:c r="M86" s="459" t="str">
        <x:f t="shared" si="388"/>
        <x:v/>
      </x:c>
      <x:c r="N86" s="459" t="str">
        <x:f t="shared" si="389"/>
        <x:v/>
      </x:c>
      <x:c r="O86" s="461" t="str">
        <x:f t="shared" si="372"/>
        <x:v/>
      </x:c>
      <x:c r="P86" s="460"/>
      <x:c r="Q86" s="461">
        <x:f t="shared" si="373"/>
        <x:v>0</x:v>
      </x:c>
      <x:c r="R86" s="462"/>
      <x:c r="S86" s="463">
        <x:f t="shared" si="374"/>
        <x:v>0</x:v>
      </x:c>
      <x:c r="T86" s="162" t="str">
        <x:f t="shared" si="375"/>
        <x:v>X</x:v>
      </x:c>
      <x:c r="U86" s="230"/>
      <x:c r="V86" s="224"/>
      <x:c r="W86" s="217"/>
      <x:c r="X86" s="234"/>
      <x:c r="Y86" s="217"/>
      <x:c r="Z86" s="356" t="str">
        <x:f t="shared" si="376"/>
        <x:v/>
      </x:c>
      <x:c r="AA86" s="61"/>
      <x:c r="AB86" s="486" t="str">
        <x:f t="shared" si="377"/>
        <x:v/>
      </x:c>
      <x:c r="AC86" s="487">
        <x:f t="shared" si="378"/>
        <x:v>0</x:v>
      </x:c>
      <x:c r="AD86" s="356" t="str">
        <x:f t="shared" si="379"/>
        <x:v>OK</x:v>
      </x:c>
      <x:c r="AE86" s="8"/>
      <x:c r="AF86" s="502" t="str">
        <x:f t="shared" si="380"/>
        <x:v/>
      </x:c>
      <x:c r="AG86" s="503">
        <x:f t="shared" si="381"/>
        <x:v>0</x:v>
      </x:c>
      <x:c r="AH86" s="381" t="str">
        <x:f t="shared" si="382"/>
        <x:v>OK</x:v>
      </x:c>
      <x:c r="AI86" s="8"/>
      <x:c r="AJ86" s="221" t="str">
        <x:f t="shared" si="383"/>
        <x:v/>
      </x:c>
      <x:c r="AK86" s="356" t="str">
        <x:f t="shared" si="384"/>
        <x:v/>
      </x:c>
      <x:c r="AL86" s="356" t="str">
        <x:f t="shared" si="385"/>
        <x:v/>
      </x:c>
      <x:c r="AM86" s="356" t="str">
        <x:f t="shared" si="386"/>
        <x:v/>
      </x:c>
      <x:c r="AN86" s="356" t="str">
        <x:f>IF($AM86="","",IF($AM86="도비","OK",IF($AJ86="세입없음","OK",IF($AJ86="세입번호입력","@@",IF(VLOOKUP($AJ86,'5. 기입'!$AH$6:$AI$1012,2,FALSE)='5. 기출'!$AM86,"OK","@@")))))</x:f>
        <x:v/>
      </x:c>
    </x:row>
    <x:row r="87" spans="1:40" ht="60" customHeight="1">
      <x:c r="A87" s="167"/>
      <x:c r="B87" s="888" t="s">
        <x:v>1498</x:v>
      </x:c>
      <x:c r="C87" s="888"/>
      <x:c r="D87" s="888"/>
      <x:c r="E87" s="888"/>
      <x:c r="F87" s="888"/>
      <x:c r="G87" s="888"/>
      <x:c r="H87" s="888"/>
      <x:c r="I87" s="888"/>
      <x:c r="J87" s="888"/>
      <x:c r="K87" s="83"/>
      <x:c r="L87" s="363" t="str">
        <x:f>SUBTOTAL(3,L88:L90)&amp;"건"</x:f>
        <x:v>0건</x:v>
      </x:c>
      <x:c r="M87" s="477">
        <x:f t="shared" ref="M87:S87" si="390">SUBTOTAL(9,M88:M90)</x:f>
        <x:v>0</x:v>
      </x:c>
      <x:c r="N87" s="477">
        <x:f t="shared" si="390"/>
        <x:v>0</x:v>
      </x:c>
      <x:c r="O87" s="477">
        <x:f t="shared" si="390"/>
        <x:v>0</x:v>
      </x:c>
      <x:c r="P87" s="477">
        <x:f t="shared" si="390"/>
        <x:v>0</x:v>
      </x:c>
      <x:c r="Q87" s="477">
        <x:f t="shared" si="390"/>
        <x:v>0</x:v>
      </x:c>
      <x:c r="R87" s="477">
        <x:f t="shared" si="390"/>
        <x:v>0</x:v>
      </x:c>
      <x:c r="S87" s="477">
        <x:f t="shared" si="390"/>
        <x:v>0</x:v>
      </x:c>
      <x:c r="T87" s="82"/>
      <x:c r="U87" s="84"/>
      <x:c r="V87" s="84"/>
      <x:c r="W87" s="85"/>
      <x:c r="Y87" s="86"/>
      <x:c r="Z87" s="82"/>
      <x:c r="AA87" s="44"/>
      <x:c r="AB87" s="477">
        <x:f t="shared" ref="AB87:AC87" si="391">SUBTOTAL(9,AB88:AB90)</x:f>
        <x:v>0</x:v>
      </x:c>
      <x:c r="AC87" s="477">
        <x:f t="shared" si="391"/>
        <x:v>0</x:v>
      </x:c>
      <x:c r="AD87" s="556" t="str">
        <x:f>IF(COUNTIF(AD88:AD90,"@@")&gt;0,"@@","OK")</x:f>
        <x:v>OK</x:v>
      </x:c>
      <x:c r="AE87" s="53"/>
      <x:c r="AF87" s="477">
        <x:f t="shared" ref="AF87:AG87" si="392">SUBTOTAL(9,AF88:AF90)</x:f>
        <x:v>0</x:v>
      </x:c>
      <x:c r="AG87" s="477">
        <x:f t="shared" si="392"/>
        <x:v>0</x:v>
      </x:c>
      <x:c r="AH87" s="556" t="str">
        <x:f>IF(COUNTIF(AH88:AH90,"@@")&gt;0,"@@","OK")</x:f>
        <x:v>OK</x:v>
      </x:c>
      <x:c r="AI87" s="44"/>
      <x:c r="AJ87" s="81"/>
      <x:c r="AK87" s="81"/>
      <x:c r="AL87" s="556" t="str">
        <x:f>IF(COUNTIF(AL88:AL90,"@@")&gt;0,"@@","OK")</x:f>
        <x:v>OK</x:v>
      </x:c>
      <x:c r="AM87" s="81"/>
      <x:c r="AN87" s="556" t="str">
        <x:f>IF(COUNTIF(AN88:AN90,"@@")&gt;0,"@@","OK")</x:f>
        <x:v>OK</x:v>
      </x:c>
    </x:row>
    <x:row r="88" spans="1:40" s="20" customFormat="1" ht="80.099999999999994" customHeight="1">
      <x:c r="A88" s="155" t="str">
        <x:f>IF(D88="","",COUNTA($C$7:C88)-COUNTBLANK($C$7:C88)+21)</x:f>
        <x:v/>
      </x:c>
      <x:c r="B88" s="156" t="str">
        <x: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x:f>
        <x:v/>
      </x:c>
      <x:c r="C88" s="156" t="str">
        <x:f>IF(D88="","",IF(OR(D88="교육지원과",D88="총무과",D88="인사과"),"직접입력",VLOOKUP(D88,구분표!$A$3:$C$258,3,)))</x:f>
        <x:v/>
      </x:c>
      <x:c r="D88" s="226"/>
      <x:c r="E88" s="213"/>
      <x:c r="F88" s="388" t="str">
        <x:f>IF($E88="","",IF($E88="2추","직접입력","-"))</x:f>
        <x:v/>
      </x:c>
      <x:c r="G88" s="388" t="str">
        <x:f>IF($E88="","",IF($E88="2추","직접입력","-"))</x:f>
        <x:v/>
      </x:c>
      <x:c r="H88" s="213"/>
      <x:c r="I88" s="156" t="str">
        <x:f>IF(H88="","",VLOOKUP($H88,구분표!$K$3:$M$147,2,FALSE))</x:f>
        <x:v/>
      </x:c>
      <x:c r="J88" s="156" t="str">
        <x:f>IF(I88="","",VLOOKUP($H88,구분표!$K$3:$M$147,3,FALSE))</x:f>
        <x:v/>
      </x:c>
      <x:c r="K88" s="233"/>
      <x:c r="L88" s="233"/>
      <x:c r="M88" s="459" t="str">
        <x:f>IF($E88="","",IF(OR($E88="2추",$E88="1추",$E88="본예산"),"금액입력","-"))</x:f>
        <x:v/>
      </x:c>
      <x:c r="N88" s="459" t="str">
        <x:f>IF($E88="","",IF($E88="2추","금액입력","-"))</x:f>
        <x:v/>
      </x:c>
      <x:c r="O88" s="461" t="str">
        <x:f t="shared" ref="O88:O90" si="393">IF($E88="","",SUM(M88:N88))</x:f>
        <x:v/>
      </x:c>
      <x:c r="P88" s="460"/>
      <x:c r="Q88" s="461">
        <x:f t="shared" ref="Q88:Q90" si="394">SUM(O88:P88)</x:f>
        <x:v>0</x:v>
      </x:c>
      <x:c r="R88" s="462"/>
      <x:c r="S88" s="463">
        <x:f t="shared" ref="S88:S90" si="395">SUM(O88,R88)</x:f>
        <x:v>0</x:v>
      </x:c>
      <x:c r="T88" s="162" t="str">
        <x:f t="shared" ref="T88:T90" si="396">IF(AND((Q88=0),(S88&gt;0)),"O",IF(AND((P88&lt;0),(Q88-S88&lt;0)),"O","X"))</x:f>
        <x:v>X</x:v>
      </x:c>
      <x:c r="U88" s="230"/>
      <x:c r="V88" s="224"/>
      <x:c r="W88" s="217"/>
      <x:c r="X88" s="234"/>
      <x:c r="Y88" s="217"/>
      <x:c r="Z88" s="356" t="str">
        <x:f t="shared" ref="Z88:Z90" si="397">IF($K88="","",IF(COUNT(FIND("국비/",$K88)),"국도비",IF(COUNT(FIND("균특/",$K88)),"국도비",IF(COUNT(FIND("기금/",$K88)),"국도비",IF(COUNT(FIND("교부세/",$K88)),"국도비",IF(COUNT(FIND("소방안전/",$K88)),"국도비",IF(COUNT(FIND("소멸대응/",$K88)),"국도비","도비")))))))</x:f>
        <x:v/>
      </x:c>
      <x:c r="AA88" s="61"/>
      <x:c r="AB88" s="486" t="str">
        <x:f t="shared" ref="AB88:AB90" si="398">IF($Z88="","",IF($Z88="국도비","금액입력",0))</x:f>
        <x:v/>
      </x:c>
      <x:c r="AC88" s="487">
        <x:f t="shared" ref="AC88:AC90" si="399">IFERROR(P88-AB88,0)</x:f>
        <x:v>0</x:v>
      </x:c>
      <x:c r="AD88" s="356" t="str">
        <x:f t="shared" ref="AD88:AD90" si="400">IF($P88=SUM($AB88:$AC88),"OK","@@")</x:f>
        <x:v>OK</x:v>
      </x:c>
      <x:c r="AE88" s="8"/>
      <x:c r="AF88" s="502" t="str">
        <x:f t="shared" ref="AF88:AF90" si="401">IF($Z88="","",IF($Z88="국도비","금액입력",0))</x:f>
        <x:v/>
      </x:c>
      <x:c r="AG88" s="503">
        <x:f t="shared" ref="AG88:AG90" si="402">IFERROR(R88-AF88,0)</x:f>
        <x:v>0</x:v>
      </x:c>
      <x:c r="AH88" s="381" t="str">
        <x:f t="shared" ref="AH88:AH90" si="403">IF($R88=SUM($AF88:$AG88),"OK","@@")</x:f>
        <x:v>OK</x:v>
      </x:c>
      <x:c r="AI88" s="8"/>
      <x:c r="AJ88" s="221" t="str">
        <x:f t="shared" ref="AJ88:AJ90" si="404">IF($Z88="","",IF($Z88="도비","-","세입번호입력"))</x:f>
        <x:v/>
      </x:c>
      <x:c r="AK88" s="356" t="str">
        <x:f t="shared" ref="AK88:AK90" si="405">IF(OR(AJ88="",AJ88="-",AJ88="세입번호입력"),"",COUNTIF($AJ$7:$AJ$1013,AJ88))</x:f>
        <x:v/>
      </x:c>
      <x:c r="AL88" s="356" t="str">
        <x:f t="shared" ref="AL88:AL90" si="406">IF($AJ88="","",IF($Z88="도비","OK",IF(AND($Z88="국도비",$AJ88="세입없음"),"OK",IF(AND($Z88="국도비",$AJ88="세입번호입력"),"@@","OK"))))</x:f>
        <x:v/>
      </x:c>
      <x:c r="AM88" s="356" t="str">
        <x:f t="shared" ref="AM88:AM90" si="407">IF($K88="","",IF(COUNT(FIND("국비/",$K88)),"국비",IF(COUNT(FIND("균특/",$K88)),"균특",IF(COUNT(FIND("기금/",$K88)),"기금",IF(COUNT(FIND("교부세/",$K88)),"특교",IF(COUNT(FIND("소방안전/",$K88)),"소교",IF(COUNT(FIND("소멸대응/",$K88)),"소멸","도비")))))))</x:f>
        <x:v/>
      </x:c>
      <x:c r="AN88" s="356" t="str">
        <x:f>IF($AM88="","",IF($AM88="도비","OK",IF($AJ88="세입없음","OK",IF($AJ88="세입번호입력","@@",IF(VLOOKUP($AJ88,'5. 기입'!$AH$6:$AI$1012,2,FALSE)='5. 기출'!$AM88,"OK","@@")))))</x:f>
        <x:v/>
      </x:c>
    </x:row>
    <x:row r="89" spans="1:40" s="20" customFormat="1" ht="80.099999999999994" customHeight="1">
      <x:c r="A89" s="155" t="str">
        <x:f>IF(D89="","",COUNTA($C$7:C89)-COUNTBLANK($C$7:C89)+21)</x:f>
        <x:v/>
      </x:c>
      <x:c r="B89" s="156" t="str">
        <x: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x:f>
        <x:v/>
      </x:c>
      <x:c r="C89" s="156" t="str">
        <x:f>IF(D89="","",IF(OR(D89="교육지원과",D89="총무과",D89="인사과"),"직접입력",VLOOKUP(D89,구분표!$A$3:$C$258,3,)))</x:f>
        <x:v/>
      </x:c>
      <x:c r="D89" s="226"/>
      <x:c r="E89" s="213"/>
      <x:c r="F89" s="388" t="str">
        <x:f t="shared" ref="F89:G90" si="408">IF($E89="","",IF($E89="2추","직접입력","-"))</x:f>
        <x:v/>
      </x:c>
      <x:c r="G89" s="388" t="str">
        <x:f t="shared" si="408"/>
        <x:v/>
      </x:c>
      <x:c r="H89" s="213"/>
      <x:c r="I89" s="156" t="str">
        <x:f>IF(H89="","",VLOOKUP($H89,구분표!$K$3:$M$147,2,FALSE))</x:f>
        <x:v/>
      </x:c>
      <x:c r="J89" s="156" t="str">
        <x:f>IF(I89="","",VLOOKUP($H89,구분표!$K$3:$M$147,3,FALSE))</x:f>
        <x:v/>
      </x:c>
      <x:c r="K89" s="233"/>
      <x:c r="L89" s="233"/>
      <x:c r="M89" s="459" t="str">
        <x:f t="shared" ref="M89:M90" si="409">IF($E89="","",IF(OR($E89="2추",$E89="1추",$E89="본예산"),"금액입력","-"))</x:f>
        <x:v/>
      </x:c>
      <x:c r="N89" s="459" t="str">
        <x:f t="shared" ref="N89:N90" si="410">IF($E89="","",IF($E89="2추","금액입력","-"))</x:f>
        <x:v/>
      </x:c>
      <x:c r="O89" s="461" t="str">
        <x:f t="shared" si="393"/>
        <x:v/>
      </x:c>
      <x:c r="P89" s="460"/>
      <x:c r="Q89" s="461">
        <x:f t="shared" si="394"/>
        <x:v>0</x:v>
      </x:c>
      <x:c r="R89" s="462"/>
      <x:c r="S89" s="463">
        <x:f t="shared" si="395"/>
        <x:v>0</x:v>
      </x:c>
      <x:c r="T89" s="162" t="str">
        <x:f t="shared" si="396"/>
        <x:v>X</x:v>
      </x:c>
      <x:c r="U89" s="230"/>
      <x:c r="V89" s="224"/>
      <x:c r="W89" s="217"/>
      <x:c r="X89" s="234"/>
      <x:c r="Y89" s="217"/>
      <x:c r="Z89" s="356" t="str">
        <x:f t="shared" si="397"/>
        <x:v/>
      </x:c>
      <x:c r="AA89" s="61"/>
      <x:c r="AB89" s="486" t="str">
        <x:f t="shared" si="398"/>
        <x:v/>
      </x:c>
      <x:c r="AC89" s="487">
        <x:f t="shared" si="399"/>
        <x:v>0</x:v>
      </x:c>
      <x:c r="AD89" s="356" t="str">
        <x:f t="shared" si="400"/>
        <x:v>OK</x:v>
      </x:c>
      <x:c r="AE89" s="8"/>
      <x:c r="AF89" s="502" t="str">
        <x:f t="shared" si="401"/>
        <x:v/>
      </x:c>
      <x:c r="AG89" s="503">
        <x:f t="shared" si="402"/>
        <x:v>0</x:v>
      </x:c>
      <x:c r="AH89" s="381" t="str">
        <x:f t="shared" si="403"/>
        <x:v>OK</x:v>
      </x:c>
      <x:c r="AI89" s="8"/>
      <x:c r="AJ89" s="221" t="str">
        <x:f t="shared" si="404"/>
        <x:v/>
      </x:c>
      <x:c r="AK89" s="356" t="str">
        <x:f t="shared" si="405"/>
        <x:v/>
      </x:c>
      <x:c r="AL89" s="356" t="str">
        <x:f t="shared" si="406"/>
        <x:v/>
      </x:c>
      <x:c r="AM89" s="356" t="str">
        <x:f t="shared" si="407"/>
        <x:v/>
      </x:c>
      <x:c r="AN89" s="356" t="str">
        <x:f>IF($AM89="","",IF($AM89="도비","OK",IF($AJ89="세입없음","OK",IF($AJ89="세입번호입력","@@",IF(VLOOKUP($AJ89,'5. 기입'!$AH$6:$AI$1012,2,FALSE)='5. 기출'!$AM89,"OK","@@")))))</x:f>
        <x:v/>
      </x:c>
    </x:row>
    <x:row r="90" spans="1:40" s="20" customFormat="1" ht="80.099999999999994" customHeight="1">
      <x:c r="A90" s="155" t="str">
        <x:f>IF(D90="","",COUNTA($C$7:C90)-COUNTBLANK($C$7:C90)+21)</x:f>
        <x:v/>
      </x:c>
      <x:c r="B90" s="156" t="str">
        <x: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x:f>
        <x:v/>
      </x:c>
      <x:c r="C90" s="156" t="str">
        <x:f>IF(D90="","",IF(OR(D90="교육지원과",D90="총무과",D90="인사과"),"직접입력",VLOOKUP(D90,구분표!$A$3:$C$258,3,)))</x:f>
        <x:v/>
      </x:c>
      <x:c r="D90" s="226"/>
      <x:c r="E90" s="213"/>
      <x:c r="F90" s="388" t="str">
        <x:f t="shared" si="408"/>
        <x:v/>
      </x:c>
      <x:c r="G90" s="388" t="str">
        <x:f t="shared" si="408"/>
        <x:v/>
      </x:c>
      <x:c r="H90" s="213"/>
      <x:c r="I90" s="156" t="str">
        <x:f>IF(H90="","",VLOOKUP($H90,구분표!$K$3:$M$147,2,FALSE))</x:f>
        <x:v/>
      </x:c>
      <x:c r="J90" s="156" t="str">
        <x:f>IF(I90="","",VLOOKUP($H90,구분표!$K$3:$M$147,3,FALSE))</x:f>
        <x:v/>
      </x:c>
      <x:c r="K90" s="233"/>
      <x:c r="L90" s="233"/>
      <x:c r="M90" s="459" t="str">
        <x:f t="shared" si="409"/>
        <x:v/>
      </x:c>
      <x:c r="N90" s="459" t="str">
        <x:f t="shared" si="410"/>
        <x:v/>
      </x:c>
      <x:c r="O90" s="461" t="str">
        <x:f t="shared" si="393"/>
        <x:v/>
      </x:c>
      <x:c r="P90" s="460"/>
      <x:c r="Q90" s="461">
        <x:f t="shared" si="394"/>
        <x:v>0</x:v>
      </x:c>
      <x:c r="R90" s="462"/>
      <x:c r="S90" s="463">
        <x:f t="shared" si="395"/>
        <x:v>0</x:v>
      </x:c>
      <x:c r="T90" s="162" t="str">
        <x:f t="shared" si="396"/>
        <x:v>X</x:v>
      </x:c>
      <x:c r="U90" s="230"/>
      <x:c r="V90" s="224"/>
      <x:c r="W90" s="217"/>
      <x:c r="X90" s="234"/>
      <x:c r="Y90" s="217"/>
      <x:c r="Z90" s="356" t="str">
        <x:f t="shared" si="397"/>
        <x:v/>
      </x:c>
      <x:c r="AA90" s="61"/>
      <x:c r="AB90" s="486" t="str">
        <x:f t="shared" si="398"/>
        <x:v/>
      </x:c>
      <x:c r="AC90" s="487">
        <x:f t="shared" si="399"/>
        <x:v>0</x:v>
      </x:c>
      <x:c r="AD90" s="356" t="str">
        <x:f t="shared" si="400"/>
        <x:v>OK</x:v>
      </x:c>
      <x:c r="AE90" s="8"/>
      <x:c r="AF90" s="502" t="str">
        <x:f t="shared" si="401"/>
        <x:v/>
      </x:c>
      <x:c r="AG90" s="503">
        <x:f t="shared" si="402"/>
        <x:v>0</x:v>
      </x:c>
      <x:c r="AH90" s="381" t="str">
        <x:f t="shared" si="403"/>
        <x:v>OK</x:v>
      </x:c>
      <x:c r="AI90" s="8"/>
      <x:c r="AJ90" s="221" t="str">
        <x:f t="shared" si="404"/>
        <x:v/>
      </x:c>
      <x:c r="AK90" s="356" t="str">
        <x:f t="shared" si="405"/>
        <x:v/>
      </x:c>
      <x:c r="AL90" s="356" t="str">
        <x:f t="shared" si="406"/>
        <x:v/>
      </x:c>
      <x:c r="AM90" s="356" t="str">
        <x:f t="shared" si="407"/>
        <x:v/>
      </x:c>
      <x:c r="AN90" s="356" t="str">
        <x:f>IF($AM90="","",IF($AM90="도비","OK",IF($AJ90="세입없음","OK",IF($AJ90="세입번호입력","@@",IF(VLOOKUP($AJ90,'5. 기입'!$AH$6:$AI$1012,2,FALSE)='5. 기출'!$AM90,"OK","@@")))))</x:f>
        <x:v/>
      </x:c>
    </x:row>
    <x:row r="91" spans="1:40" ht="60" customHeight="1">
      <x:c r="A91" s="167"/>
      <x:c r="B91" s="888" t="s">
        <x:v>862</x:v>
      </x:c>
      <x:c r="C91" s="888"/>
      <x:c r="D91" s="888"/>
      <x:c r="E91" s="888"/>
      <x:c r="F91" s="888"/>
      <x:c r="G91" s="888"/>
      <x:c r="H91" s="888"/>
      <x:c r="I91" s="888"/>
      <x:c r="J91" s="888"/>
      <x:c r="K91" s="83"/>
      <x:c r="L91" s="363" t="str">
        <x:f>SUBTOTAL(3,L92:L94)&amp;"건"</x:f>
        <x:v>1건</x:v>
      </x:c>
      <x:c r="M91" s="477">
        <x:f>SUBTOTAL(9,M92:M94)</x:f>
        <x:v>3000000</x:v>
      </x:c>
      <x:c r="N91" s="477">
        <x:f t="shared" ref="N91:S91" si="411">SUBTOTAL(9,N92:N94)</x:f>
        <x:v>-900000</x:v>
      </x:c>
      <x:c r="O91" s="477">
        <x:f t="shared" si="411"/>
        <x:v>2100000</x:v>
      </x:c>
      <x:c r="P91" s="477">
        <x:f t="shared" si="411"/>
        <x:v>900000</x:v>
      </x:c>
      <x:c r="Q91" s="477">
        <x:f t="shared" si="411"/>
        <x:v>3000000</x:v>
      </x:c>
      <x:c r="R91" s="477">
        <x:f t="shared" si="411"/>
        <x:v>0</x:v>
      </x:c>
      <x:c r="S91" s="477">
        <x:f t="shared" si="411"/>
        <x:v>2100000</x:v>
      </x:c>
      <x:c r="T91" s="82"/>
      <x:c r="U91" s="84"/>
      <x:c r="V91" s="84"/>
      <x:c r="W91" s="85"/>
      <x:c r="Y91" s="86"/>
      <x:c r="Z91" s="82"/>
      <x:c r="AA91" s="44"/>
      <x:c r="AB91" s="477">
        <x:f t="shared" ref="AB91:AC91" si="412">SUBTOTAL(9,AB92:AB94)</x:f>
        <x:v>0</x:v>
      </x:c>
      <x:c r="AC91" s="477">
        <x:f t="shared" si="412"/>
        <x:v>900000</x:v>
      </x:c>
      <x:c r="AD91" s="556" t="str">
        <x:f>IF(COUNTIF(AD92:AD94,"@@")&gt;0,"@@","OK")</x:f>
        <x:v>OK</x:v>
      </x:c>
      <x:c r="AE91" s="53"/>
      <x:c r="AF91" s="477">
        <x:f t="shared" ref="AF91:AG91" si="413">SUBTOTAL(9,AF92:AF94)</x:f>
        <x:v>0</x:v>
      </x:c>
      <x:c r="AG91" s="477">
        <x:f t="shared" si="413"/>
        <x:v>0</x:v>
      </x:c>
      <x:c r="AH91" s="556" t="str">
        <x:f>IF(COUNTIF(AH92:AH94,"@@")&gt;0,"@@","OK")</x:f>
        <x:v>OK</x:v>
      </x:c>
      <x:c r="AI91" s="44"/>
      <x:c r="AJ91" s="81"/>
      <x:c r="AK91" s="81"/>
      <x:c r="AL91" s="556" t="str">
        <x:f>IF(COUNTIF(AL92:AL94,"@@")&gt;0,"@@","OK")</x:f>
        <x:v>OK</x:v>
      </x:c>
      <x:c r="AM91" s="81"/>
      <x:c r="AN91" s="556" t="str">
        <x:f>IF(COUNTIF(AN92:AN94,"@@")&gt;0,"@@","OK")</x:f>
        <x:v>OK</x:v>
      </x:c>
    </x:row>
    <x:row r="92" spans="1:40" s="20" customFormat="1" ht="80.099999999999994" customHeight="1">
      <x:c r="A92" s="155">
        <x:f>IF(D92="","",COUNTA($C$7:C92)-COUNTBLANK($C$7:C92)+22)</x:f>
        <x:v>1</x:v>
      </x:c>
      <x:c r="B92" s="156" t="str">
        <x: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x:f>
        <x:v>도시환경위원회</x:v>
      </x:c>
      <x:c r="C92" s="156" t="str">
        <x:f>IF(D92="","",IF(OR(D92="교육지원과",D92="총무과",D92="인사과"),"직접입력",VLOOKUP(D92,구분표!$A$3:$C$258,3,)))</x:f>
        <x:v>도시주택실</x:v>
      </x:c>
      <x:c r="D92" s="226" t="s">
        <x:v>909</x:v>
      </x:c>
      <x:c r="E92" s="213" t="s">
        <x:v>414</x:v>
      </x:c>
      <x:c r="F92" s="388">
        <x:v>143</x:v>
      </x:c>
      <x:c r="G92" s="388">
        <x:v>201</x:v>
      </x:c>
      <x:c r="H92" s="213" t="s">
        <x:v>628</x:v>
      </x:c>
      <x:c r="I92" s="156" t="str">
        <x:f>IF(H92="","",VLOOKUP($H92,구분표!$K$3:$M$147,2,FALSE))</x:f>
        <x:v>민간이전</x:v>
      </x:c>
      <x:c r="J92" s="156" t="str">
        <x:f>IF(I92="","",VLOOKUP($H92,구분표!$K$3:$M$147,3,FALSE))</x:f>
        <x:v>이차보전금</x:v>
      </x:c>
      <x:c r="K92" s="233" t="s">
        <x:v>8</x:v>
      </x:c>
      <x:c r="L92" s="233" t="s">
        <x:v>1911</x:v>
      </x:c>
      <x:c r="M92" s="459">
        <x:v>3000000</x:v>
      </x:c>
      <x:c r="N92" s="459">
        <x:v>-900000</x:v>
      </x:c>
      <x:c r="O92" s="461">
        <x:f t="shared" ref="O92:O94" si="414">IF($E92="","",SUM(M92:N92))</x:f>
        <x:v>2100000</x:v>
      </x:c>
      <x:c r="P92" s="460">
        <x:v>900000</x:v>
      </x:c>
      <x:c r="Q92" s="461">
        <x:f t="shared" ref="Q92:Q94" si="415">SUM(O92:P92)</x:f>
        <x:v>3000000</x:v>
      </x:c>
      <x:c r="R92" s="462"/>
      <x:c r="S92" s="463">
        <x:f t="shared" ref="S92:S94" si="416">SUM(O92,R92)</x:f>
        <x:v>2100000</x:v>
      </x:c>
      <x:c r="T92" s="162" t="str">
        <x:f t="shared" ref="T92:T94" si="417">IF(AND((Q92=0),(S92&gt;0)),"O",IF(AND((P92&lt;0),(Q92-S92&lt;0)),"O","X"))</x:f>
        <x:v>X</x:v>
      </x:c>
      <x:c r="U92" s="230"/>
      <x:c r="V92" s="224"/>
      <x:c r="W92" s="217"/>
      <x:c r="X92" s="234"/>
      <x:c r="Y92" s="217"/>
      <x:c r="Z92" s="356" t="str">
        <x:f t="shared" ref="Z92:Z94" si="418">IF($K92="","",IF(COUNT(FIND("국비/",$K92)),"국도비",IF(COUNT(FIND("균특/",$K92)),"국도비",IF(COUNT(FIND("기금/",$K92)),"국도비",IF(COUNT(FIND("교부세/",$K92)),"국도비",IF(COUNT(FIND("소방안전/",$K92)),"국도비",IF(COUNT(FIND("소멸대응/",$K92)),"국도비","도비")))))))</x:f>
        <x:v>도비</x:v>
      </x:c>
      <x:c r="AA92" s="61"/>
      <x:c r="AB92" s="486">
        <x:f t="shared" ref="AB92:AB94" si="419">IF($Z92="","",IF($Z92="국도비","금액입력",0))</x:f>
        <x:v>0</x:v>
      </x:c>
      <x:c r="AC92" s="487">
        <x:f t="shared" ref="AC92:AC94" si="420">IFERROR(P92-AB92,0)</x:f>
        <x:v>900000</x:v>
      </x:c>
      <x:c r="AD92" s="356" t="str">
        <x:f t="shared" ref="AD92:AD94" si="421">IF($P92=SUM($AB92:$AC92),"OK","@@")</x:f>
        <x:v>OK</x:v>
      </x:c>
      <x:c r="AE92" s="8"/>
      <x:c r="AF92" s="502">
        <x:f t="shared" ref="AF92:AF94" si="422">IF($Z92="","",IF($Z92="국도비","금액입력",0))</x:f>
        <x:v>0</x:v>
      </x:c>
      <x:c r="AG92" s="503">
        <x:f t="shared" ref="AG92:AG94" si="423">IFERROR(R92-AF92,0)</x:f>
        <x:v>0</x:v>
      </x:c>
      <x:c r="AH92" s="381" t="str">
        <x:f t="shared" ref="AH92:AH94" si="424">IF($R92=SUM($AF92:$AG92),"OK","@@")</x:f>
        <x:v>OK</x:v>
      </x:c>
      <x:c r="AI92" s="8"/>
      <x:c r="AJ92" s="221" t="str">
        <x:f t="shared" ref="AJ92:AJ94" si="425">IF($Z92="","",IF($Z92="도비","-","세입번호입력"))</x:f>
        <x:v>-</x:v>
      </x:c>
      <x:c r="AK92" s="356" t="str">
        <x:f t="shared" ref="AK92:AK94" si="426">IF(OR(AJ92="",AJ92="-",AJ92="세입번호입력"),"",COUNTIF($AJ$7:$AJ$1013,AJ92))</x:f>
        <x:v/>
      </x:c>
      <x:c r="AL92" s="356" t="str">
        <x:f t="shared" ref="AL92:AL94" si="427">IF($AJ92="","",IF($Z92="도비","OK",IF(AND($Z92="국도비",$AJ92="세입없음"),"OK",IF(AND($Z92="국도비",$AJ92="세입번호입력"),"@@","OK"))))</x:f>
        <x:v>OK</x:v>
      </x:c>
      <x:c r="AM92" s="356" t="str">
        <x:f t="shared" ref="AM92:AM94" si="428">IF($K92="","",IF(COUNT(FIND("국비/",$K92)),"국비",IF(COUNT(FIND("균특/",$K92)),"균특",IF(COUNT(FIND("기금/",$K92)),"기금",IF(COUNT(FIND("교부세/",$K92)),"특교",IF(COUNT(FIND("소방안전/",$K92)),"소교",IF(COUNT(FIND("소멸대응/",$K92)),"소멸","도비")))))))</x:f>
        <x:v>도비</x:v>
      </x:c>
      <x:c r="AN92" s="356" t="str">
        <x:f>IF($AM92="","",IF($AM92="도비","OK",IF($AJ92="세입없음","OK",IF($AJ92="세입번호입력","@@",IF(VLOOKUP($AJ92,'5. 기입'!$AH$6:$AI$1012,2,FALSE)='5. 기출'!$AM92,"OK","@@")))))</x:f>
        <x:v>OK</x:v>
      </x:c>
    </x:row>
    <x:row r="93" spans="1:40" s="20" customFormat="1" ht="80.099999999999994" customHeight="1">
      <x:c r="A93" s="155" t="str">
        <x:f>IF(D93="","",COUNTA($C$7:C93)-COUNTBLANK($C$7:C93)+22)</x:f>
        <x:v/>
      </x:c>
      <x:c r="B93" s="156" t="str">
        <x: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x:f>
        <x:v/>
      </x:c>
      <x:c r="C93" s="156" t="str">
        <x:f>IF(D93="","",IF(OR(D93="교육지원과",D93="총무과",D93="인사과"),"직접입력",VLOOKUP(D93,구분표!$A$3:$C$258,3,)))</x:f>
        <x:v/>
      </x:c>
      <x:c r="D93" s="226"/>
      <x:c r="E93" s="213"/>
      <x:c r="F93" s="388" t="str">
        <x:f t="shared" ref="F93:G94" si="429">IF($E93="","",IF($E93="2추","직접입력","-"))</x:f>
        <x:v/>
      </x:c>
      <x:c r="G93" s="388" t="str">
        <x:f t="shared" si="429"/>
        <x:v/>
      </x:c>
      <x:c r="H93" s="213"/>
      <x:c r="I93" s="156" t="str">
        <x:f>IF(H93="","",VLOOKUP($H93,구분표!$K$3:$M$147,2,FALSE))</x:f>
        <x:v/>
      </x:c>
      <x:c r="J93" s="156" t="str">
        <x:f>IF(I93="","",VLOOKUP($H93,구분표!$K$3:$M$147,3,FALSE))</x:f>
        <x:v/>
      </x:c>
      <x:c r="K93" s="233"/>
      <x:c r="L93" s="233"/>
      <x:c r="M93" s="459" t="str">
        <x:f t="shared" ref="M93:M94" si="430">IF($E93="","",IF(OR($E93="2추",$E93="1추",$E93="본예산"),"금액입력","-"))</x:f>
        <x:v/>
      </x:c>
      <x:c r="N93" s="459" t="str">
        <x:f t="shared" ref="N93:N94" si="431">IF($E93="","",IF($E93="2추","금액입력","-"))</x:f>
        <x:v/>
      </x:c>
      <x:c r="O93" s="461" t="str">
        <x:f t="shared" si="414"/>
        <x:v/>
      </x:c>
      <x:c r="P93" s="460"/>
      <x:c r="Q93" s="461">
        <x:f t="shared" si="415"/>
        <x:v>0</x:v>
      </x:c>
      <x:c r="R93" s="462"/>
      <x:c r="S93" s="463">
        <x:f t="shared" si="416"/>
        <x:v>0</x:v>
      </x:c>
      <x:c r="T93" s="162" t="str">
        <x:f t="shared" si="417"/>
        <x:v>X</x:v>
      </x:c>
      <x:c r="U93" s="230"/>
      <x:c r="V93" s="224"/>
      <x:c r="W93" s="217"/>
      <x:c r="X93" s="234"/>
      <x:c r="Y93" s="217"/>
      <x:c r="Z93" s="356" t="str">
        <x:f t="shared" si="418"/>
        <x:v/>
      </x:c>
      <x:c r="AA93" s="61"/>
      <x:c r="AB93" s="486" t="str">
        <x:f t="shared" si="419"/>
        <x:v/>
      </x:c>
      <x:c r="AC93" s="487">
        <x:f t="shared" si="420"/>
        <x:v>0</x:v>
      </x:c>
      <x:c r="AD93" s="356" t="str">
        <x:f t="shared" si="421"/>
        <x:v>OK</x:v>
      </x:c>
      <x:c r="AE93" s="8"/>
      <x:c r="AF93" s="502" t="str">
        <x:f t="shared" si="422"/>
        <x:v/>
      </x:c>
      <x:c r="AG93" s="503">
        <x:f t="shared" si="423"/>
        <x:v>0</x:v>
      </x:c>
      <x:c r="AH93" s="381" t="str">
        <x:f t="shared" si="424"/>
        <x:v>OK</x:v>
      </x:c>
      <x:c r="AI93" s="8"/>
      <x:c r="AJ93" s="221" t="str">
        <x:f t="shared" si="425"/>
        <x:v/>
      </x:c>
      <x:c r="AK93" s="356" t="str">
        <x:f t="shared" si="426"/>
        <x:v/>
      </x:c>
      <x:c r="AL93" s="356" t="str">
        <x:f t="shared" si="427"/>
        <x:v/>
      </x:c>
      <x:c r="AM93" s="356" t="str">
        <x:f t="shared" si="428"/>
        <x:v/>
      </x:c>
      <x:c r="AN93" s="356" t="str">
        <x:f>IF($AM93="","",IF($AM93="도비","OK",IF($AJ93="세입없음","OK",IF($AJ93="세입번호입력","@@",IF(VLOOKUP($AJ93,'5. 기입'!$AH$6:$AI$1012,2,FALSE)='5. 기출'!$AM93,"OK","@@")))))</x:f>
        <x:v/>
      </x:c>
    </x:row>
    <x:row r="94" spans="1:40" s="20" customFormat="1" ht="80.099999999999994" customHeight="1">
      <x:c r="A94" s="155" t="str">
        <x:f>IF(D94="","",COUNTA($C$7:C94)-COUNTBLANK($C$7:C94)+22)</x:f>
        <x:v/>
      </x:c>
      <x:c r="B94" s="156" t="str">
        <x: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x:f>
        <x:v/>
      </x:c>
      <x:c r="C94" s="156" t="str">
        <x:f>IF(D94="","",IF(OR(D94="교육지원과",D94="총무과",D94="인사과"),"직접입력",VLOOKUP(D94,구분표!$A$3:$C$258,3,)))</x:f>
        <x:v/>
      </x:c>
      <x:c r="D94" s="226"/>
      <x:c r="E94" s="213"/>
      <x:c r="F94" s="388" t="str">
        <x:f t="shared" si="429"/>
        <x:v/>
      </x:c>
      <x:c r="G94" s="388" t="str">
        <x:f t="shared" si="429"/>
        <x:v/>
      </x:c>
      <x:c r="H94" s="213"/>
      <x:c r="I94" s="156" t="str">
        <x:f>IF(H94="","",VLOOKUP($H94,구분표!$K$3:$M$147,2,FALSE))</x:f>
        <x:v/>
      </x:c>
      <x:c r="J94" s="156" t="str">
        <x:f>IF(I94="","",VLOOKUP($H94,구분표!$K$3:$M$147,3,FALSE))</x:f>
        <x:v/>
      </x:c>
      <x:c r="K94" s="233"/>
      <x:c r="L94" s="233"/>
      <x:c r="M94" s="459" t="str">
        <x:f t="shared" si="430"/>
        <x:v/>
      </x:c>
      <x:c r="N94" s="459" t="str">
        <x:f t="shared" si="431"/>
        <x:v/>
      </x:c>
      <x:c r="O94" s="461" t="str">
        <x:f t="shared" si="414"/>
        <x:v/>
      </x:c>
      <x:c r="P94" s="460"/>
      <x:c r="Q94" s="461">
        <x:f t="shared" si="415"/>
        <x:v>0</x:v>
      </x:c>
      <x:c r="R94" s="462"/>
      <x:c r="S94" s="463">
        <x:f t="shared" si="416"/>
        <x:v>0</x:v>
      </x:c>
      <x:c r="T94" s="162" t="str">
        <x:f t="shared" si="417"/>
        <x:v>X</x:v>
      </x:c>
      <x:c r="U94" s="230"/>
      <x:c r="V94" s="224"/>
      <x:c r="W94" s="217"/>
      <x:c r="X94" s="234"/>
      <x:c r="Y94" s="217"/>
      <x:c r="Z94" s="356" t="str">
        <x:f t="shared" si="418"/>
        <x:v/>
      </x:c>
      <x:c r="AA94" s="61"/>
      <x:c r="AB94" s="486" t="str">
        <x:f t="shared" si="419"/>
        <x:v/>
      </x:c>
      <x:c r="AC94" s="487">
        <x:f t="shared" si="420"/>
        <x:v>0</x:v>
      </x:c>
      <x:c r="AD94" s="356" t="str">
        <x:f t="shared" si="421"/>
        <x:v>OK</x:v>
      </x:c>
      <x:c r="AE94" s="8"/>
      <x:c r="AF94" s="502" t="str">
        <x:f t="shared" si="422"/>
        <x:v/>
      </x:c>
      <x:c r="AG94" s="503">
        <x:f t="shared" si="423"/>
        <x:v>0</x:v>
      </x:c>
      <x:c r="AH94" s="381" t="str">
        <x:f t="shared" si="424"/>
        <x:v>OK</x:v>
      </x:c>
      <x:c r="AI94" s="8"/>
      <x:c r="AJ94" s="221" t="str">
        <x:f t="shared" si="425"/>
        <x:v/>
      </x:c>
      <x:c r="AK94" s="356" t="str">
        <x:f t="shared" si="426"/>
        <x:v/>
      </x:c>
      <x:c r="AL94" s="356" t="str">
        <x:f t="shared" si="427"/>
        <x:v/>
      </x:c>
      <x:c r="AM94" s="356" t="str">
        <x:f t="shared" si="428"/>
        <x:v/>
      </x:c>
      <x:c r="AN94" s="356" t="str">
        <x:f>IF($AM94="","",IF($AM94="도비","OK",IF($AJ94="세입없음","OK",IF($AJ94="세입번호입력","@@",IF(VLOOKUP($AJ94,'5. 기입'!$AH$6:$AI$1012,2,FALSE)='5. 기출'!$AM94,"OK","@@")))))</x:f>
        <x:v/>
      </x:c>
    </x:row>
    <x:row r="95" spans="1:40" ht="60" customHeight="1">
      <x:c r="A95" s="167"/>
      <x:c r="B95" s="888" t="s">
        <x:v>444</x:v>
      </x:c>
      <x:c r="C95" s="888"/>
      <x:c r="D95" s="888"/>
      <x:c r="E95" s="888"/>
      <x:c r="F95" s="888"/>
      <x:c r="G95" s="888"/>
      <x:c r="H95" s="888"/>
      <x:c r="I95" s="888"/>
      <x:c r="J95" s="888"/>
      <x:c r="K95" s="83"/>
      <x:c r="L95" s="363" t="str">
        <x:f>SUBTOTAL(3,L96:L98)&amp;"건"</x:f>
        <x:v>0건</x:v>
      </x:c>
      <x:c r="M95" s="477">
        <x:f t="shared" ref="M95:S95" si="432">SUBTOTAL(9,M96:M98)</x:f>
        <x:v>0</x:v>
      </x:c>
      <x:c r="N95" s="477">
        <x:f t="shared" si="432"/>
        <x:v>0</x:v>
      </x:c>
      <x:c r="O95" s="477">
        <x:f t="shared" si="432"/>
        <x:v>0</x:v>
      </x:c>
      <x:c r="P95" s="477">
        <x:f t="shared" si="432"/>
        <x:v>0</x:v>
      </x:c>
      <x:c r="Q95" s="477">
        <x:f t="shared" si="432"/>
        <x:v>0</x:v>
      </x:c>
      <x:c r="R95" s="477">
        <x:f t="shared" si="432"/>
        <x:v>0</x:v>
      </x:c>
      <x:c r="S95" s="477">
        <x:f t="shared" si="432"/>
        <x:v>0</x:v>
      </x:c>
      <x:c r="T95" s="82"/>
      <x:c r="U95" s="84"/>
      <x:c r="V95" s="84"/>
      <x:c r="W95" s="85"/>
      <x:c r="Y95" s="86"/>
      <x:c r="Z95" s="82"/>
      <x:c r="AA95" s="44"/>
      <x:c r="AB95" s="477">
        <x:f t="shared" ref="AB95:AC95" si="433">SUBTOTAL(9,AB96:AB98)</x:f>
        <x:v>0</x:v>
      </x:c>
      <x:c r="AC95" s="477">
        <x:f t="shared" si="433"/>
        <x:v>0</x:v>
      </x:c>
      <x:c r="AD95" s="556" t="str">
        <x:f>IF(COUNTIF(AD96:AD98,"@@")&gt;0,"@@","OK")</x:f>
        <x:v>OK</x:v>
      </x:c>
      <x:c r="AE95" s="53"/>
      <x:c r="AF95" s="477">
        <x:f t="shared" ref="AF95:AG95" si="434">SUBTOTAL(9,AF96:AF98)</x:f>
        <x:v>0</x:v>
      </x:c>
      <x:c r="AG95" s="477">
        <x:f t="shared" si="434"/>
        <x:v>0</x:v>
      </x:c>
      <x:c r="AH95" s="556" t="str">
        <x:f>IF(COUNTIF(AH96:AH98,"@@")&gt;0,"@@","OK")</x:f>
        <x:v>OK</x:v>
      </x:c>
      <x:c r="AI95" s="44"/>
      <x:c r="AJ95" s="81"/>
      <x:c r="AK95" s="81"/>
      <x:c r="AL95" s="556" t="str">
        <x:f>IF(COUNTIF(AL96:AL98,"@@")&gt;0,"@@","OK")</x:f>
        <x:v>OK</x:v>
      </x:c>
      <x:c r="AM95" s="81"/>
      <x:c r="AN95" s="556" t="str">
        <x:f>IF(COUNTIF(AN96:AN98,"@@")&gt;0,"@@","OK")</x:f>
        <x:v>OK</x:v>
      </x:c>
    </x:row>
    <x:row r="96" spans="1:40" s="20" customFormat="1" ht="80.099999999999994" customHeight="1">
      <x:c r="A96" s="155" t="str">
        <x:f>IF(D96="","",COUNTA($C$7:C96)-COUNTBLANK($C$7:C96)+23)</x:f>
        <x:v/>
      </x:c>
      <x:c r="B96" s="156" t="str">
        <x: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x:f>
        <x:v/>
      </x:c>
      <x:c r="C96" s="156" t="str">
        <x:f>IF(D96="","",IF(OR(D96="교육지원과",D96="총무과",D96="인사과"),"직접입력",VLOOKUP(D96,구분표!$A$3:$C$258,3,)))</x:f>
        <x:v/>
      </x:c>
      <x:c r="D96" s="226"/>
      <x:c r="E96" s="213"/>
      <x:c r="F96" s="388" t="str">
        <x:f>IF($E96="","",IF($E96="2추","직접입력","-"))</x:f>
        <x:v/>
      </x:c>
      <x:c r="G96" s="388" t="str">
        <x:f>IF($E96="","",IF($E96="2추","직접입력","-"))</x:f>
        <x:v/>
      </x:c>
      <x:c r="H96" s="213"/>
      <x:c r="I96" s="156" t="str">
        <x:f>IF(H96="","",VLOOKUP($H96,구분표!$K$3:$M$147,2,FALSE))</x:f>
        <x:v/>
      </x:c>
      <x:c r="J96" s="156" t="str">
        <x:f>IF(I96="","",VLOOKUP($H96,구분표!$K$3:$M$147,3,FALSE))</x:f>
        <x:v/>
      </x:c>
      <x:c r="K96" s="233"/>
      <x:c r="L96" s="233"/>
      <x:c r="M96" s="459" t="str">
        <x:f>IF($E96="","",IF(OR($E96="2추",$E96="1추",$E96="본예산"),"금액입력","-"))</x:f>
        <x:v/>
      </x:c>
      <x:c r="N96" s="459" t="str">
        <x:f>IF($E96="","",IF($E96="2추","금액입력","-"))</x:f>
        <x:v/>
      </x:c>
      <x:c r="O96" s="461" t="str">
        <x:f t="shared" ref="O96:O98" si="435">IF($E96="","",SUM(M96:N96))</x:f>
        <x:v/>
      </x:c>
      <x:c r="P96" s="460"/>
      <x:c r="Q96" s="461">
        <x:f t="shared" ref="Q96:Q98" si="436">SUM(O96:P96)</x:f>
        <x:v>0</x:v>
      </x:c>
      <x:c r="R96" s="462"/>
      <x:c r="S96" s="463">
        <x:f t="shared" ref="S96:S98" si="437">SUM(O96,R96)</x:f>
        <x:v>0</x:v>
      </x:c>
      <x:c r="T96" s="162" t="str">
        <x:f t="shared" ref="T96:T98" si="438">IF(AND((Q96=0),(S96&gt;0)),"O",IF(AND((P96&lt;0),(Q96-S96&lt;0)),"O","X"))</x:f>
        <x:v>X</x:v>
      </x:c>
      <x:c r="U96" s="230"/>
      <x:c r="V96" s="224"/>
      <x:c r="W96" s="217"/>
      <x:c r="X96" s="234"/>
      <x:c r="Y96" s="217"/>
      <x:c r="Z96" s="356" t="str">
        <x:f t="shared" ref="Z96:Z98" si="439">IF($K96="","",IF(COUNT(FIND("국비/",$K96)),"국도비",IF(COUNT(FIND("균특/",$K96)),"국도비",IF(COUNT(FIND("기금/",$K96)),"국도비",IF(COUNT(FIND("교부세/",$K96)),"국도비",IF(COUNT(FIND("소방안전/",$K96)),"국도비",IF(COUNT(FIND("소멸대응/",$K96)),"국도비","도비")))))))</x:f>
        <x:v/>
      </x:c>
      <x:c r="AA96" s="61"/>
      <x:c r="AB96" s="486" t="str">
        <x:f t="shared" ref="AB96:AB98" si="440">IF($Z96="","",IF($Z96="국도비","금액입력",0))</x:f>
        <x:v/>
      </x:c>
      <x:c r="AC96" s="487">
        <x:f t="shared" ref="AC96:AC98" si="441">IFERROR(P96-AB96,0)</x:f>
        <x:v>0</x:v>
      </x:c>
      <x:c r="AD96" s="356" t="str">
        <x:f t="shared" ref="AD96:AD98" si="442">IF($P96=SUM($AB96:$AC96),"OK","@@")</x:f>
        <x:v>OK</x:v>
      </x:c>
      <x:c r="AE96" s="8"/>
      <x:c r="AF96" s="502" t="str">
        <x:f t="shared" ref="AF96:AF98" si="443">IF($Z96="","",IF($Z96="국도비","금액입력",0))</x:f>
        <x:v/>
      </x:c>
      <x:c r="AG96" s="503">
        <x:f t="shared" ref="AG96:AG98" si="444">IFERROR(R96-AF96,0)</x:f>
        <x:v>0</x:v>
      </x:c>
      <x:c r="AH96" s="381" t="str">
        <x:f t="shared" ref="AH96:AH98" si="445">IF($R96=SUM($AF96:$AG96),"OK","@@")</x:f>
        <x:v>OK</x:v>
      </x:c>
      <x:c r="AI96" s="8"/>
      <x:c r="AJ96" s="221" t="str">
        <x:f t="shared" ref="AJ96:AJ98" si="446">IF($Z96="","",IF($Z96="도비","-","세입번호입력"))</x:f>
        <x:v/>
      </x:c>
      <x:c r="AK96" s="356" t="str">
        <x:f t="shared" ref="AK96:AK98" si="447">IF(OR(AJ96="",AJ96="-",AJ96="세입번호입력"),"",COUNTIF($AJ$7:$AJ$1013,AJ96))</x:f>
        <x:v/>
      </x:c>
      <x:c r="AL96" s="356" t="str">
        <x:f t="shared" ref="AL96:AL98" si="448">IF($AJ96="","",IF($Z96="도비","OK",IF(AND($Z96="국도비",$AJ96="세입없음"),"OK",IF(AND($Z96="국도비",$AJ96="세입번호입력"),"@@","OK"))))</x:f>
        <x:v/>
      </x:c>
      <x:c r="AM96" s="356" t="str">
        <x:f t="shared" ref="AM96:AM98" si="449">IF($K96="","",IF(COUNT(FIND("국비/",$K96)),"국비",IF(COUNT(FIND("균특/",$K96)),"균특",IF(COUNT(FIND("기금/",$K96)),"기금",IF(COUNT(FIND("교부세/",$K96)),"특교",IF(COUNT(FIND("소방안전/",$K96)),"소교",IF(COUNT(FIND("소멸대응/",$K96)),"소멸","도비")))))))</x:f>
        <x:v/>
      </x:c>
      <x:c r="AN96" s="356" t="str">
        <x:f>IF($AM96="","",IF($AM96="도비","OK",IF($AJ96="세입없음","OK",IF($AJ96="세입번호입력","@@",IF(VLOOKUP($AJ96,'5. 기입'!$AH$6:$AI$1012,2,FALSE)='5. 기출'!$AM96,"OK","@@")))))</x:f>
        <x:v/>
      </x:c>
    </x:row>
    <x:row r="97" spans="1:40" s="20" customFormat="1" ht="80.099999999999994" customHeight="1">
      <x:c r="A97" s="155" t="str">
        <x:f>IF(D97="","",COUNTA($C$7:C97)-COUNTBLANK($C$7:C97)+23)</x:f>
        <x:v/>
      </x:c>
      <x:c r="B97" s="156" t="str">
        <x: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x:f>
        <x:v/>
      </x:c>
      <x:c r="C97" s="156" t="str">
        <x:f>IF(D97="","",IF(OR(D97="교육지원과",D97="총무과",D97="인사과"),"직접입력",VLOOKUP(D97,구분표!$A$3:$C$258,3,)))</x:f>
        <x:v/>
      </x:c>
      <x:c r="D97" s="226"/>
      <x:c r="E97" s="213"/>
      <x:c r="F97" s="388" t="str">
        <x:f t="shared" ref="F97:G98" si="450">IF($E97="","",IF($E97="2추","직접입력","-"))</x:f>
        <x:v/>
      </x:c>
      <x:c r="G97" s="388" t="str">
        <x:f t="shared" si="450"/>
        <x:v/>
      </x:c>
      <x:c r="H97" s="213"/>
      <x:c r="I97" s="156" t="str">
        <x:f>IF(H97="","",VLOOKUP($H97,구분표!$K$3:$M$147,2,FALSE))</x:f>
        <x:v/>
      </x:c>
      <x:c r="J97" s="156" t="str">
        <x:f>IF(I97="","",VLOOKUP($H97,구분표!$K$3:$M$147,3,FALSE))</x:f>
        <x:v/>
      </x:c>
      <x:c r="K97" s="233"/>
      <x:c r="L97" s="233"/>
      <x:c r="M97" s="459" t="str">
        <x:f t="shared" ref="M97:M98" si="451">IF($E97="","",IF(OR($E97="2추",$E97="1추",$E97="본예산"),"금액입력","-"))</x:f>
        <x:v/>
      </x:c>
      <x:c r="N97" s="459" t="str">
        <x:f t="shared" ref="N97:N98" si="452">IF($E97="","",IF($E97="2추","금액입력","-"))</x:f>
        <x:v/>
      </x:c>
      <x:c r="O97" s="461" t="str">
        <x:f t="shared" si="435"/>
        <x:v/>
      </x:c>
      <x:c r="P97" s="460"/>
      <x:c r="Q97" s="461">
        <x:f t="shared" si="436"/>
        <x:v>0</x:v>
      </x:c>
      <x:c r="R97" s="462"/>
      <x:c r="S97" s="463">
        <x:f t="shared" si="437"/>
        <x:v>0</x:v>
      </x:c>
      <x:c r="T97" s="162" t="str">
        <x:f t="shared" si="438"/>
        <x:v>X</x:v>
      </x:c>
      <x:c r="U97" s="230"/>
      <x:c r="V97" s="224"/>
      <x:c r="W97" s="217"/>
      <x:c r="X97" s="234"/>
      <x:c r="Y97" s="217"/>
      <x:c r="Z97" s="356" t="str">
        <x:f t="shared" si="439"/>
        <x:v/>
      </x:c>
      <x:c r="AA97" s="61"/>
      <x:c r="AB97" s="486" t="str">
        <x:f t="shared" si="440"/>
        <x:v/>
      </x:c>
      <x:c r="AC97" s="487">
        <x:f t="shared" si="441"/>
        <x:v>0</x:v>
      </x:c>
      <x:c r="AD97" s="356" t="str">
        <x:f t="shared" si="442"/>
        <x:v>OK</x:v>
      </x:c>
      <x:c r="AE97" s="8"/>
      <x:c r="AF97" s="502" t="str">
        <x:f t="shared" si="443"/>
        <x:v/>
      </x:c>
      <x:c r="AG97" s="503">
        <x:f t="shared" si="444"/>
        <x:v>0</x:v>
      </x:c>
      <x:c r="AH97" s="381" t="str">
        <x:f t="shared" si="445"/>
        <x:v>OK</x:v>
      </x:c>
      <x:c r="AI97" s="8"/>
      <x:c r="AJ97" s="221" t="str">
        <x:f t="shared" si="446"/>
        <x:v/>
      </x:c>
      <x:c r="AK97" s="356" t="str">
        <x:f t="shared" si="447"/>
        <x:v/>
      </x:c>
      <x:c r="AL97" s="356" t="str">
        <x:f t="shared" si="448"/>
        <x:v/>
      </x:c>
      <x:c r="AM97" s="356" t="str">
        <x:f t="shared" si="449"/>
        <x:v/>
      </x:c>
      <x:c r="AN97" s="356" t="str">
        <x:f>IF($AM97="","",IF($AM97="도비","OK",IF($AJ97="세입없음","OK",IF($AJ97="세입번호입력","@@",IF(VLOOKUP($AJ97,'5. 기입'!$AH$6:$AI$1012,2,FALSE)='5. 기출'!$AM97,"OK","@@")))))</x:f>
        <x:v/>
      </x:c>
    </x:row>
    <x:row r="98" spans="1:40" s="20" customFormat="1" ht="80.099999999999994" customHeight="1">
      <x:c r="A98" s="155" t="str">
        <x:f>IF(D98="","",COUNTA($C$7:C98)-COUNTBLANK($C$7:C98)+23)</x:f>
        <x:v/>
      </x:c>
      <x:c r="B98" s="156" t="str">
        <x: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x:f>
        <x:v/>
      </x:c>
      <x:c r="C98" s="156" t="str">
        <x:f>IF(D98="","",IF(OR(D98="교육지원과",D98="총무과",D98="인사과"),"직접입력",VLOOKUP(D98,구분표!$A$3:$C$258,3,)))</x:f>
        <x:v/>
      </x:c>
      <x:c r="D98" s="226"/>
      <x:c r="E98" s="213"/>
      <x:c r="F98" s="388" t="str">
        <x:f t="shared" si="450"/>
        <x:v/>
      </x:c>
      <x:c r="G98" s="388" t="str">
        <x:f t="shared" si="450"/>
        <x:v/>
      </x:c>
      <x:c r="H98" s="213"/>
      <x:c r="I98" s="156" t="str">
        <x:f>IF(H98="","",VLOOKUP($H98,구분표!$K$3:$M$147,2,FALSE))</x:f>
        <x:v/>
      </x:c>
      <x:c r="J98" s="156" t="str">
        <x:f>IF(I98="","",VLOOKUP($H98,구분표!$K$3:$M$147,3,FALSE))</x:f>
        <x:v/>
      </x:c>
      <x:c r="K98" s="233"/>
      <x:c r="L98" s="233"/>
      <x:c r="M98" s="459" t="str">
        <x:f t="shared" si="451"/>
        <x:v/>
      </x:c>
      <x:c r="N98" s="459" t="str">
        <x:f t="shared" si="452"/>
        <x:v/>
      </x:c>
      <x:c r="O98" s="461" t="str">
        <x:f t="shared" si="435"/>
        <x:v/>
      </x:c>
      <x:c r="P98" s="460"/>
      <x:c r="Q98" s="461">
        <x:f t="shared" si="436"/>
        <x:v>0</x:v>
      </x:c>
      <x:c r="R98" s="462"/>
      <x:c r="S98" s="463">
        <x:f t="shared" si="437"/>
        <x:v>0</x:v>
      </x:c>
      <x:c r="T98" s="162" t="str">
        <x:f t="shared" si="438"/>
        <x:v>X</x:v>
      </x:c>
      <x:c r="U98" s="230"/>
      <x:c r="V98" s="224"/>
      <x:c r="W98" s="217"/>
      <x:c r="X98" s="234"/>
      <x:c r="Y98" s="217"/>
      <x:c r="Z98" s="356" t="str">
        <x:f t="shared" si="439"/>
        <x:v/>
      </x:c>
      <x:c r="AA98" s="61"/>
      <x:c r="AB98" s="486" t="str">
        <x:f t="shared" si="440"/>
        <x:v/>
      </x:c>
      <x:c r="AC98" s="487">
        <x:f t="shared" si="441"/>
        <x:v>0</x:v>
      </x:c>
      <x:c r="AD98" s="356" t="str">
        <x:f t="shared" si="442"/>
        <x:v>OK</x:v>
      </x:c>
      <x:c r="AE98" s="8"/>
      <x:c r="AF98" s="502" t="str">
        <x:f t="shared" si="443"/>
        <x:v/>
      </x:c>
      <x:c r="AG98" s="503">
        <x:f t="shared" si="444"/>
        <x:v>0</x:v>
      </x:c>
      <x:c r="AH98" s="381" t="str">
        <x:f t="shared" si="445"/>
        <x:v>OK</x:v>
      </x:c>
      <x:c r="AI98" s="8"/>
      <x:c r="AJ98" s="221" t="str">
        <x:f t="shared" si="446"/>
        <x:v/>
      </x:c>
      <x:c r="AK98" s="356" t="str">
        <x:f t="shared" si="447"/>
        <x:v/>
      </x:c>
      <x:c r="AL98" s="356" t="str">
        <x:f t="shared" si="448"/>
        <x:v/>
      </x:c>
      <x:c r="AM98" s="356" t="str">
        <x:f t="shared" si="449"/>
        <x:v/>
      </x:c>
      <x:c r="AN98" s="356" t="str">
        <x:f>IF($AM98="","",IF($AM98="도비","OK",IF($AJ98="세입없음","OK",IF($AJ98="세입번호입력","@@",IF(VLOOKUP($AJ98,'5. 기입'!$AH$6:$AI$1012,2,FALSE)='5. 기출'!$AM98,"OK","@@")))))</x:f>
        <x:v/>
      </x:c>
    </x:row>
    <x:row r="99" spans="1:40" ht="60" customHeight="1">
      <x:c r="A99" s="167"/>
      <x:c r="B99" s="888" t="s">
        <x:v>873</x:v>
      </x:c>
      <x:c r="C99" s="888"/>
      <x:c r="D99" s="888"/>
      <x:c r="E99" s="888"/>
      <x:c r="F99" s="888"/>
      <x:c r="G99" s="888"/>
      <x:c r="H99" s="888"/>
      <x:c r="I99" s="888"/>
      <x:c r="J99" s="888"/>
      <x:c r="K99" s="83"/>
      <x:c r="L99" s="363" t="str">
        <x:f>SUBTOTAL(3,L100:L102)&amp;"건"</x:f>
        <x:v>0건</x:v>
      </x:c>
      <x:c r="M99" s="477">
        <x:f>SUBTOTAL(9,M100:M102)</x:f>
        <x:v>0</x:v>
      </x:c>
      <x:c r="N99" s="477">
        <x:f t="shared" ref="N99:S99" si="453">SUBTOTAL(9,N100:N102)</x:f>
        <x:v>0</x:v>
      </x:c>
      <x:c r="O99" s="477">
        <x:f t="shared" si="453"/>
        <x:v>0</x:v>
      </x:c>
      <x:c r="P99" s="477">
        <x:f t="shared" si="453"/>
        <x:v>0</x:v>
      </x:c>
      <x:c r="Q99" s="477">
        <x:f t="shared" si="453"/>
        <x:v>0</x:v>
      </x:c>
      <x:c r="R99" s="477">
        <x:f t="shared" si="453"/>
        <x:v>0</x:v>
      </x:c>
      <x:c r="S99" s="477">
        <x:f t="shared" si="453"/>
        <x:v>0</x:v>
      </x:c>
      <x:c r="T99" s="82"/>
      <x:c r="U99" s="84"/>
      <x:c r="V99" s="84"/>
      <x:c r="W99" s="85"/>
      <x:c r="Y99" s="86"/>
      <x:c r="Z99" s="82"/>
      <x:c r="AA99" s="44"/>
      <x:c r="AB99" s="477">
        <x:f t="shared" ref="AB99:AC99" si="454">SUBTOTAL(9,AB100:AB102)</x:f>
        <x:v>0</x:v>
      </x:c>
      <x:c r="AC99" s="477">
        <x:f t="shared" si="454"/>
        <x:v>0</x:v>
      </x:c>
      <x:c r="AD99" s="556" t="str">
        <x:f>IF(COUNTIF(AD100:AD102,"@@")&gt;0,"@@","OK")</x:f>
        <x:v>OK</x:v>
      </x:c>
      <x:c r="AE99" s="53"/>
      <x:c r="AF99" s="477">
        <x:f t="shared" ref="AF99:AG99" si="455">SUBTOTAL(9,AF100:AF102)</x:f>
        <x:v>0</x:v>
      </x:c>
      <x:c r="AG99" s="477">
        <x:f t="shared" si="455"/>
        <x:v>0</x:v>
      </x:c>
      <x:c r="AH99" s="556" t="str">
        <x:f>IF(COUNTIF(AH100:AH102,"@@")&gt;0,"@@","OK")</x:f>
        <x:v>OK</x:v>
      </x:c>
      <x:c r="AI99" s="44"/>
      <x:c r="AJ99" s="81"/>
      <x:c r="AK99" s="81"/>
      <x:c r="AL99" s="556" t="str">
        <x:f>IF(COUNTIF(AL100:AL102,"@@")&gt;0,"@@","OK")</x:f>
        <x:v>OK</x:v>
      </x:c>
      <x:c r="AM99" s="81"/>
      <x:c r="AN99" s="556" t="str">
        <x:f>IF(COUNTIF(AN100:AN102,"@@")&gt;0,"@@","OK")</x:f>
        <x:v>OK</x:v>
      </x:c>
    </x:row>
    <x:row r="100" spans="1:40" s="20" customFormat="1" ht="80.099999999999994" customHeight="1">
      <x:c r="A100" s="155" t="str">
        <x:f>IF(D100="","",COUNTA($C$7:C100)-COUNTBLANK($C$7:C100)+24)</x:f>
        <x:v/>
      </x:c>
      <x:c r="B100" s="156" t="str">
        <x: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x:f>
        <x:v/>
      </x:c>
      <x:c r="C100" s="156" t="str">
        <x:f>IF(D100="","",IF(OR(D100="교육지원과",D100="총무과",D100="인사과"),"직접입력",VLOOKUP(D100,구분표!$A$3:$C$258,3,)))</x:f>
        <x:v/>
      </x:c>
      <x:c r="D100" s="226"/>
      <x:c r="E100" s="213"/>
      <x:c r="F100" s="388" t="str">
        <x:f>IF($E100="","",IF($E100="2추","직접입력","-"))</x:f>
        <x:v/>
      </x:c>
      <x:c r="G100" s="388" t="str">
        <x:f>IF($E100="","",IF($E100="2추","직접입력","-"))</x:f>
        <x:v/>
      </x:c>
      <x:c r="H100" s="213"/>
      <x:c r="I100" s="156" t="str">
        <x:f>IF(H100="","",VLOOKUP($H100,구분표!$K$3:$M$147,2,FALSE))</x:f>
        <x:v/>
      </x:c>
      <x:c r="J100" s="156" t="str">
        <x:f>IF(I100="","",VLOOKUP($H100,구분표!$K$3:$M$147,3,FALSE))</x:f>
        <x:v/>
      </x:c>
      <x:c r="K100" s="233"/>
      <x:c r="L100" s="233"/>
      <x:c r="M100" s="459" t="str">
        <x:f>IF($E100="","",IF(OR($E100="2추",$E100="1추",$E100="본예산"),"금액입력","-"))</x:f>
        <x:v/>
      </x:c>
      <x:c r="N100" s="459" t="str">
        <x:f>IF($E100="","",IF($E100="2추","금액입력","-"))</x:f>
        <x:v/>
      </x:c>
      <x:c r="O100" s="461" t="str">
        <x:f t="shared" ref="O100:O102" si="456">IF($E100="","",SUM(M100:N100))</x:f>
        <x:v/>
      </x:c>
      <x:c r="P100" s="460"/>
      <x:c r="Q100" s="461">
        <x:f t="shared" ref="Q100:Q102" si="457">SUM(O100:P100)</x:f>
        <x:v>0</x:v>
      </x:c>
      <x:c r="R100" s="462"/>
      <x:c r="S100" s="463">
        <x:f t="shared" ref="S100:S102" si="458">SUM(O100,R100)</x:f>
        <x:v>0</x:v>
      </x:c>
      <x:c r="T100" s="162" t="str">
        <x:f t="shared" ref="T100:T102" si="459">IF(AND((Q100=0),(S100&gt;0)),"O",IF(AND((P100&lt;0),(Q100-S100&lt;0)),"O","X"))</x:f>
        <x:v>X</x:v>
      </x:c>
      <x:c r="U100" s="230"/>
      <x:c r="V100" s="224"/>
      <x:c r="W100" s="217"/>
      <x:c r="X100" s="234"/>
      <x:c r="Y100" s="217"/>
      <x:c r="Z100" s="356" t="str">
        <x:f t="shared" ref="Z100:Z102" si="460">IF($K100="","",IF(COUNT(FIND("국비/",$K100)),"국도비",IF(COUNT(FIND("균특/",$K100)),"국도비",IF(COUNT(FIND("기금/",$K100)),"국도비",IF(COUNT(FIND("교부세/",$K100)),"국도비",IF(COUNT(FIND("소방안전/",$K100)),"국도비",IF(COUNT(FIND("소멸대응/",$K100)),"국도비","도비")))))))</x:f>
        <x:v/>
      </x:c>
      <x:c r="AA100" s="61"/>
      <x:c r="AB100" s="486" t="str">
        <x:f t="shared" ref="AB100:AB102" si="461">IF($Z100="","",IF($Z100="국도비","금액입력",0))</x:f>
        <x:v/>
      </x:c>
      <x:c r="AC100" s="487">
        <x:f t="shared" ref="AC100:AC102" si="462">IFERROR(P100-AB100,0)</x:f>
        <x:v>0</x:v>
      </x:c>
      <x:c r="AD100" s="356" t="str">
        <x:f t="shared" ref="AD100:AD102" si="463">IF($P100=SUM($AB100:$AC100),"OK","@@")</x:f>
        <x:v>OK</x:v>
      </x:c>
      <x:c r="AE100" s="8"/>
      <x:c r="AF100" s="502" t="str">
        <x:f t="shared" ref="AF100:AF102" si="464">IF($Z100="","",IF($Z100="국도비","금액입력",0))</x:f>
        <x:v/>
      </x:c>
      <x:c r="AG100" s="503">
        <x:f t="shared" ref="AG100:AG102" si="465">IFERROR(R100-AF100,0)</x:f>
        <x:v>0</x:v>
      </x:c>
      <x:c r="AH100" s="381" t="str">
        <x:f t="shared" ref="AH100:AH102" si="466">IF($R100=SUM($AF100:$AG100),"OK","@@")</x:f>
        <x:v>OK</x:v>
      </x:c>
      <x:c r="AI100" s="8"/>
      <x:c r="AJ100" s="221" t="str">
        <x:f t="shared" ref="AJ100:AJ102" si="467">IF($Z100="","",IF($Z100="도비","-","세입번호입력"))</x:f>
        <x:v/>
      </x:c>
      <x:c r="AK100" s="356" t="str">
        <x:f t="shared" ref="AK100:AK102" si="468">IF(OR(AJ100="",AJ100="-",AJ100="세입번호입력"),"",COUNTIF($AJ$7:$AJ$1013,AJ100))</x:f>
        <x:v/>
      </x:c>
      <x:c r="AL100" s="356" t="str">
        <x:f t="shared" ref="AL100:AL102" si="469">IF($AJ100="","",IF($Z100="도비","OK",IF(AND($Z100="국도비",$AJ100="세입없음"),"OK",IF(AND($Z100="국도비",$AJ100="세입번호입력"),"@@","OK"))))</x:f>
        <x:v/>
      </x:c>
      <x:c r="AM100" s="356" t="str">
        <x:f t="shared" ref="AM100:AM102" si="470">IF($K100="","",IF(COUNT(FIND("국비/",$K100)),"국비",IF(COUNT(FIND("균특/",$K100)),"균특",IF(COUNT(FIND("기금/",$K100)),"기금",IF(COUNT(FIND("교부세/",$K100)),"특교",IF(COUNT(FIND("소방안전/",$K100)),"소교",IF(COUNT(FIND("소멸대응/",$K100)),"소멸","도비")))))))</x:f>
        <x:v/>
      </x:c>
      <x:c r="AN100" s="356" t="str">
        <x:f>IF($AM100="","",IF($AM100="도비","OK",IF($AJ100="세입없음","OK",IF($AJ100="세입번호입력","@@",IF(VLOOKUP($AJ100,'5. 기입'!$AH$6:$AI$1012,2,FALSE)='5. 기출'!$AM100,"OK","@@")))))</x:f>
        <x:v/>
      </x:c>
    </x:row>
    <x:row r="101" spans="1:40" s="20" customFormat="1" ht="80.099999999999994" customHeight="1">
      <x:c r="A101" s="155" t="str">
        <x:f>IF(D101="","",COUNTA($C$7:C101)-COUNTBLANK($C$7:C101)+24)</x:f>
        <x:v/>
      </x:c>
      <x:c r="B101" s="156" t="str">
        <x: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x:f>
        <x:v/>
      </x:c>
      <x:c r="C101" s="156" t="str">
        <x:f>IF(D101="","",IF(OR(D101="교육지원과",D101="총무과",D101="인사과"),"직접입력",VLOOKUP(D101,구분표!$A$3:$C$258,3,)))</x:f>
        <x:v/>
      </x:c>
      <x:c r="D101" s="226"/>
      <x:c r="E101" s="213"/>
      <x:c r="F101" s="388" t="str">
        <x:f t="shared" ref="F101:G102" si="471">IF($E101="","",IF($E101="2추","직접입력","-"))</x:f>
        <x:v/>
      </x:c>
      <x:c r="G101" s="388" t="str">
        <x:f t="shared" si="471"/>
        <x:v/>
      </x:c>
      <x:c r="H101" s="213"/>
      <x:c r="I101" s="156" t="str">
        <x:f>IF(H101="","",VLOOKUP($H101,구분표!$K$3:$M$147,2,FALSE))</x:f>
        <x:v/>
      </x:c>
      <x:c r="J101" s="156" t="str">
        <x:f>IF(I101="","",VLOOKUP($H101,구분표!$K$3:$M$147,3,FALSE))</x:f>
        <x:v/>
      </x:c>
      <x:c r="K101" s="233"/>
      <x:c r="L101" s="233"/>
      <x:c r="M101" s="459" t="str">
        <x:f t="shared" ref="M101:M102" si="472">IF($E101="","",IF(OR($E101="2추",$E101="1추",$E101="본예산"),"금액입력","-"))</x:f>
        <x:v/>
      </x:c>
      <x:c r="N101" s="459" t="str">
        <x:f t="shared" ref="N101:N102" si="473">IF($E101="","",IF($E101="2추","금액입력","-"))</x:f>
        <x:v/>
      </x:c>
      <x:c r="O101" s="461" t="str">
        <x:f t="shared" si="456"/>
        <x:v/>
      </x:c>
      <x:c r="P101" s="460"/>
      <x:c r="Q101" s="461">
        <x:f t="shared" si="457"/>
        <x:v>0</x:v>
      </x:c>
      <x:c r="R101" s="462"/>
      <x:c r="S101" s="463">
        <x:f t="shared" si="458"/>
        <x:v>0</x:v>
      </x:c>
      <x:c r="T101" s="162" t="str">
        <x:f t="shared" si="459"/>
        <x:v>X</x:v>
      </x:c>
      <x:c r="U101" s="230"/>
      <x:c r="V101" s="224"/>
      <x:c r="W101" s="217"/>
      <x:c r="X101" s="234"/>
      <x:c r="Y101" s="217"/>
      <x:c r="Z101" s="356" t="str">
        <x:f t="shared" si="460"/>
        <x:v/>
      </x:c>
      <x:c r="AA101" s="61"/>
      <x:c r="AB101" s="486" t="str">
        <x:f t="shared" si="461"/>
        <x:v/>
      </x:c>
      <x:c r="AC101" s="487">
        <x:f t="shared" si="462"/>
        <x:v>0</x:v>
      </x:c>
      <x:c r="AD101" s="356" t="str">
        <x:f t="shared" si="463"/>
        <x:v>OK</x:v>
      </x:c>
      <x:c r="AE101" s="8"/>
      <x:c r="AF101" s="502" t="str">
        <x:f t="shared" si="464"/>
        <x:v/>
      </x:c>
      <x:c r="AG101" s="503">
        <x:f t="shared" si="465"/>
        <x:v>0</x:v>
      </x:c>
      <x:c r="AH101" s="381" t="str">
        <x:f t="shared" si="466"/>
        <x:v>OK</x:v>
      </x:c>
      <x:c r="AI101" s="8"/>
      <x:c r="AJ101" s="221" t="str">
        <x:f t="shared" si="467"/>
        <x:v/>
      </x:c>
      <x:c r="AK101" s="356" t="str">
        <x:f t="shared" si="468"/>
        <x:v/>
      </x:c>
      <x:c r="AL101" s="356" t="str">
        <x:f t="shared" si="469"/>
        <x:v/>
      </x:c>
      <x:c r="AM101" s="356" t="str">
        <x:f t="shared" si="470"/>
        <x:v/>
      </x:c>
      <x:c r="AN101" s="356" t="str">
        <x:f>IF($AM101="","",IF($AM101="도비","OK",IF($AJ101="세입없음","OK",IF($AJ101="세입번호입력","@@",IF(VLOOKUP($AJ101,'5. 기입'!$AH$6:$AI$1012,2,FALSE)='5. 기출'!$AM101,"OK","@@")))))</x:f>
        <x:v/>
      </x:c>
    </x:row>
    <x:row r="102" spans="1:40" s="20" customFormat="1" ht="80.099999999999994" customHeight="1">
      <x:c r="A102" s="155" t="str">
        <x:f>IF(D102="","",COUNTA($C$7:C102)-COUNTBLANK($C$7:C102)+24)</x:f>
        <x:v/>
      </x:c>
      <x:c r="B102" s="156" t="str">
        <x: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x:f>
        <x:v/>
      </x:c>
      <x:c r="C102" s="156" t="str">
        <x:f>IF(D102="","",IF(OR(D102="교육지원과",D102="총무과",D102="인사과"),"직접입력",VLOOKUP(D102,구분표!$A$3:$C$258,3,)))</x:f>
        <x:v/>
      </x:c>
      <x:c r="D102" s="226"/>
      <x:c r="E102" s="213"/>
      <x:c r="F102" s="388" t="str">
        <x:f t="shared" si="471"/>
        <x:v/>
      </x:c>
      <x:c r="G102" s="388" t="str">
        <x:f t="shared" si="471"/>
        <x:v/>
      </x:c>
      <x:c r="H102" s="213"/>
      <x:c r="I102" s="156" t="str">
        <x:f>IF(H102="","",VLOOKUP($H102,구분표!$K$3:$M$147,2,FALSE))</x:f>
        <x:v/>
      </x:c>
      <x:c r="J102" s="156" t="str">
        <x:f>IF(I102="","",VLOOKUP($H102,구분표!$K$3:$M$147,3,FALSE))</x:f>
        <x:v/>
      </x:c>
      <x:c r="K102" s="233"/>
      <x:c r="L102" s="233"/>
      <x:c r="M102" s="459" t="str">
        <x:f t="shared" si="472"/>
        <x:v/>
      </x:c>
      <x:c r="N102" s="459" t="str">
        <x:f t="shared" si="473"/>
        <x:v/>
      </x:c>
      <x:c r="O102" s="461" t="str">
        <x:f t="shared" si="456"/>
        <x:v/>
      </x:c>
      <x:c r="P102" s="460"/>
      <x:c r="Q102" s="461">
        <x:f t="shared" si="457"/>
        <x:v>0</x:v>
      </x:c>
      <x:c r="R102" s="462"/>
      <x:c r="S102" s="463">
        <x:f t="shared" si="458"/>
        <x:v>0</x:v>
      </x:c>
      <x:c r="T102" s="162" t="str">
        <x:f t="shared" si="459"/>
        <x:v>X</x:v>
      </x:c>
      <x:c r="U102" s="230"/>
      <x:c r="V102" s="224"/>
      <x:c r="W102" s="217"/>
      <x:c r="X102" s="234"/>
      <x:c r="Y102" s="217"/>
      <x:c r="Z102" s="356" t="str">
        <x:f t="shared" si="460"/>
        <x:v/>
      </x:c>
      <x:c r="AA102" s="61"/>
      <x:c r="AB102" s="486" t="str">
        <x:f t="shared" si="461"/>
        <x:v/>
      </x:c>
      <x:c r="AC102" s="487">
        <x:f t="shared" si="462"/>
        <x:v>0</x:v>
      </x:c>
      <x:c r="AD102" s="356" t="str">
        <x:f t="shared" si="463"/>
        <x:v>OK</x:v>
      </x:c>
      <x:c r="AE102" s="8"/>
      <x:c r="AF102" s="502" t="str">
        <x:f t="shared" si="464"/>
        <x:v/>
      </x:c>
      <x:c r="AG102" s="503">
        <x:f t="shared" si="465"/>
        <x:v>0</x:v>
      </x:c>
      <x:c r="AH102" s="381" t="str">
        <x:f t="shared" si="466"/>
        <x:v>OK</x:v>
      </x:c>
      <x:c r="AI102" s="8"/>
      <x:c r="AJ102" s="221" t="str">
        <x:f t="shared" si="467"/>
        <x:v/>
      </x:c>
      <x:c r="AK102" s="356" t="str">
        <x:f t="shared" si="468"/>
        <x:v/>
      </x:c>
      <x:c r="AL102" s="356" t="str">
        <x:f t="shared" si="469"/>
        <x:v/>
      </x:c>
      <x:c r="AM102" s="356" t="str">
        <x:f t="shared" si="470"/>
        <x:v/>
      </x:c>
      <x:c r="AN102" s="356" t="str">
        <x:f>IF($AM102="","",IF($AM102="도비","OK",IF($AJ102="세입없음","OK",IF($AJ102="세입번호입력","@@",IF(VLOOKUP($AJ102,'5. 기입'!$AH$6:$AI$1012,2,FALSE)='5. 기출'!$AM102,"OK","@@")))))</x:f>
        <x:v/>
      </x:c>
    </x:row>
    <x:row r="103" spans="1:40" ht="60" customHeight="1">
      <x:c r="A103" s="167"/>
      <x:c r="B103" s="888" t="s">
        <x:v>875</x:v>
      </x:c>
      <x:c r="C103" s="888"/>
      <x:c r="D103" s="888"/>
      <x:c r="E103" s="888"/>
      <x:c r="F103" s="888"/>
      <x:c r="G103" s="888"/>
      <x:c r="H103" s="888"/>
      <x:c r="I103" s="888"/>
      <x:c r="J103" s="888"/>
      <x:c r="K103" s="83"/>
      <x:c r="L103" s="363" t="str">
        <x:f>SUBTOTAL(3,L104:L106)&amp;"건"</x:f>
        <x:v>0건</x:v>
      </x:c>
      <x:c r="M103" s="477">
        <x:f t="shared" ref="M103:S103" si="474">SUBTOTAL(9,M104:M106)</x:f>
        <x:v>0</x:v>
      </x:c>
      <x:c r="N103" s="477">
        <x:f t="shared" si="474"/>
        <x:v>0</x:v>
      </x:c>
      <x:c r="O103" s="477">
        <x:f t="shared" si="474"/>
        <x:v>0</x:v>
      </x:c>
      <x:c r="P103" s="477">
        <x:f t="shared" si="474"/>
        <x:v>0</x:v>
      </x:c>
      <x:c r="Q103" s="477">
        <x:f t="shared" si="474"/>
        <x:v>0</x:v>
      </x:c>
      <x:c r="R103" s="477">
        <x:f t="shared" si="474"/>
        <x:v>0</x:v>
      </x:c>
      <x:c r="S103" s="477">
        <x:f t="shared" si="474"/>
        <x:v>0</x:v>
      </x:c>
      <x:c r="T103" s="82"/>
      <x:c r="U103" s="84"/>
      <x:c r="V103" s="84"/>
      <x:c r="W103" s="85"/>
      <x:c r="Y103" s="86"/>
      <x:c r="Z103" s="82"/>
      <x:c r="AA103" s="44"/>
      <x:c r="AB103" s="477">
        <x:f t="shared" ref="AB103:AC103" si="475">SUBTOTAL(9,AB104:AB106)</x:f>
        <x:v>0</x:v>
      </x:c>
      <x:c r="AC103" s="477">
        <x:f t="shared" si="475"/>
        <x:v>0</x:v>
      </x:c>
      <x:c r="AD103" s="556" t="str">
        <x:f>IF(COUNTIF(AD104:AD106,"@@")&gt;0,"@@","OK")</x:f>
        <x:v>OK</x:v>
      </x:c>
      <x:c r="AE103" s="53"/>
      <x:c r="AF103" s="477">
        <x:f t="shared" ref="AF103:AG103" si="476">SUBTOTAL(9,AF104:AF106)</x:f>
        <x:v>0</x:v>
      </x:c>
      <x:c r="AG103" s="477">
        <x:f t="shared" si="476"/>
        <x:v>0</x:v>
      </x:c>
      <x:c r="AH103" s="556" t="str">
        <x:f>IF(COUNTIF(AH104:AH106,"@@")&gt;0,"@@","OK")</x:f>
        <x:v>OK</x:v>
      </x:c>
      <x:c r="AI103" s="44"/>
      <x:c r="AJ103" s="81"/>
      <x:c r="AK103" s="81"/>
      <x:c r="AL103" s="556" t="str">
        <x:f>IF(COUNTIF(AL104:AL106,"@@")&gt;0,"@@","OK")</x:f>
        <x:v>OK</x:v>
      </x:c>
      <x:c r="AM103" s="81"/>
      <x:c r="AN103" s="556" t="str">
        <x:f>IF(COUNTIF(AN104:AN106,"@@")&gt;0,"@@","OK")</x:f>
        <x:v>OK</x:v>
      </x:c>
    </x:row>
    <x:row r="104" spans="1:40" s="20" customFormat="1" ht="80.099999999999994" customHeight="1">
      <x:c r="A104" s="155" t="str">
        <x:f>IF(D104="","",COUNTA($C$7:C104)-COUNTBLANK($C$7:C104)+25)</x:f>
        <x:v/>
      </x:c>
      <x:c r="B104" s="156" t="str">
        <x: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x:f>
        <x:v/>
      </x:c>
      <x:c r="C104" s="156" t="str">
        <x:f>IF(D104="","",IF(OR(D104="교육지원과",D104="총무과",D104="인사과"),"직접입력",VLOOKUP(D104,구분표!$A$3:$C$258,3,)))</x:f>
        <x:v/>
      </x:c>
      <x:c r="D104" s="226"/>
      <x:c r="E104" s="213"/>
      <x:c r="F104" s="388" t="str">
        <x:f>IF($E104="","",IF($E104="2추","직접입력","-"))</x:f>
        <x:v/>
      </x:c>
      <x:c r="G104" s="388" t="str">
        <x:f>IF($E104="","",IF($E104="2추","직접입력","-"))</x:f>
        <x:v/>
      </x:c>
      <x:c r="H104" s="213"/>
      <x:c r="I104" s="156" t="str">
        <x:f>IF(H104="","",VLOOKUP($H104,구분표!$K$3:$M$147,2,FALSE))</x:f>
        <x:v/>
      </x:c>
      <x:c r="J104" s="156" t="str">
        <x:f>IF(I104="","",VLOOKUP($H104,구분표!$K$3:$M$147,3,FALSE))</x:f>
        <x:v/>
      </x:c>
      <x:c r="K104" s="233"/>
      <x:c r="L104" s="233"/>
      <x:c r="M104" s="459" t="str">
        <x:f>IF($E104="","",IF(OR($E104="2추",$E104="1추",$E104="본예산"),"금액입력","-"))</x:f>
        <x:v/>
      </x:c>
      <x:c r="N104" s="459" t="str">
        <x:f>IF($E104="","",IF($E104="2추","금액입력","-"))</x:f>
        <x:v/>
      </x:c>
      <x:c r="O104" s="461" t="str">
        <x:f t="shared" ref="O104:O106" si="477">IF($E104="","",SUM(M104:N104))</x:f>
        <x:v/>
      </x:c>
      <x:c r="P104" s="460"/>
      <x:c r="Q104" s="461">
        <x:f t="shared" ref="Q104:Q106" si="478">SUM(O104:P104)</x:f>
        <x:v>0</x:v>
      </x:c>
      <x:c r="R104" s="462"/>
      <x:c r="S104" s="463">
        <x:f t="shared" ref="S104:S106" si="479">SUM(O104,R104)</x:f>
        <x:v>0</x:v>
      </x:c>
      <x:c r="T104" s="162" t="str">
        <x:f t="shared" ref="T104:T106" si="480">IF(AND((Q104=0),(S104&gt;0)),"O",IF(AND((P104&lt;0),(Q104-S104&lt;0)),"O","X"))</x:f>
        <x:v>X</x:v>
      </x:c>
      <x:c r="U104" s="230"/>
      <x:c r="V104" s="224"/>
      <x:c r="W104" s="217"/>
      <x:c r="X104" s="234"/>
      <x:c r="Y104" s="217"/>
      <x:c r="Z104" s="356" t="str">
        <x:f t="shared" ref="Z104:Z106" si="481">IF($K104="","",IF(COUNT(FIND("국비/",$K104)),"국도비",IF(COUNT(FIND("균특/",$K104)),"국도비",IF(COUNT(FIND("기금/",$K104)),"국도비",IF(COUNT(FIND("교부세/",$K104)),"국도비",IF(COUNT(FIND("소방안전/",$K104)),"국도비",IF(COUNT(FIND("소멸대응/",$K104)),"국도비","도비")))))))</x:f>
        <x:v/>
      </x:c>
      <x:c r="AA104" s="61"/>
      <x:c r="AB104" s="486" t="str">
        <x:f t="shared" ref="AB104:AB106" si="482">IF($Z104="","",IF($Z104="국도비","금액입력",0))</x:f>
        <x:v/>
      </x:c>
      <x:c r="AC104" s="487">
        <x:f t="shared" ref="AC104:AC106" si="483">IFERROR(P104-AB104,0)</x:f>
        <x:v>0</x:v>
      </x:c>
      <x:c r="AD104" s="356" t="str">
        <x:f t="shared" ref="AD104:AD106" si="484">IF($P104=SUM($AB104:$AC104),"OK","@@")</x:f>
        <x:v>OK</x:v>
      </x:c>
      <x:c r="AE104" s="8"/>
      <x:c r="AF104" s="502" t="str">
        <x:f t="shared" ref="AF104:AF106" si="485">IF($Z104="","",IF($Z104="국도비","금액입력",0))</x:f>
        <x:v/>
      </x:c>
      <x:c r="AG104" s="503">
        <x:f t="shared" ref="AG104:AG106" si="486">IFERROR(R104-AF104,0)</x:f>
        <x:v>0</x:v>
      </x:c>
      <x:c r="AH104" s="381" t="str">
        <x:f t="shared" ref="AH104:AH106" si="487">IF($R104=SUM($AF104:$AG104),"OK","@@")</x:f>
        <x:v>OK</x:v>
      </x:c>
      <x:c r="AI104" s="8"/>
      <x:c r="AJ104" s="221" t="str">
        <x:f t="shared" ref="AJ104:AJ106" si="488">IF($Z104="","",IF($Z104="도비","-","세입번호입력"))</x:f>
        <x:v/>
      </x:c>
      <x:c r="AK104" s="356" t="str">
        <x:f t="shared" ref="AK104:AK106" si="489">IF(OR(AJ104="",AJ104="-",AJ104="세입번호입력"),"",COUNTIF($AJ$7:$AJ$1013,AJ104))</x:f>
        <x:v/>
      </x:c>
      <x:c r="AL104" s="356" t="str">
        <x:f t="shared" ref="AL104:AL106" si="490">IF($AJ104="","",IF($Z104="도비","OK",IF(AND($Z104="국도비",$AJ104="세입없음"),"OK",IF(AND($Z104="국도비",$AJ104="세입번호입력"),"@@","OK"))))</x:f>
        <x:v/>
      </x:c>
      <x:c r="AM104" s="356" t="str">
        <x:f t="shared" ref="AM104:AM106" si="491">IF($K104="","",IF(COUNT(FIND("국비/",$K104)),"국비",IF(COUNT(FIND("균특/",$K104)),"균특",IF(COUNT(FIND("기금/",$K104)),"기금",IF(COUNT(FIND("교부세/",$K104)),"특교",IF(COUNT(FIND("소방안전/",$K104)),"소교",IF(COUNT(FIND("소멸대응/",$K104)),"소멸","도비")))))))</x:f>
        <x:v/>
      </x:c>
      <x:c r="AN104" s="356" t="str">
        <x:f>IF($AM104="","",IF($AM104="도비","OK",IF($AJ104="세입없음","OK",IF($AJ104="세입번호입력","@@",IF(VLOOKUP($AJ104,'5. 기입'!$AH$6:$AI$1012,2,FALSE)='5. 기출'!$AM104,"OK","@@")))))</x:f>
        <x:v/>
      </x:c>
    </x:row>
    <x:row r="105" spans="1:40" s="20" customFormat="1" ht="80.099999999999994" customHeight="1">
      <x:c r="A105" s="155" t="str">
        <x:f>IF(D105="","",COUNTA($C$7:C105)-COUNTBLANK($C$7:C105)+25)</x:f>
        <x:v/>
      </x:c>
      <x:c r="B105" s="156" t="str">
        <x: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x:f>
        <x:v/>
      </x:c>
      <x:c r="C105" s="156" t="str">
        <x:f>IF(D105="","",IF(OR(D105="교육지원과",D105="총무과",D105="인사과"),"직접입력",VLOOKUP(D105,구분표!$A$3:$C$258,3,)))</x:f>
        <x:v/>
      </x:c>
      <x:c r="D105" s="226"/>
      <x:c r="E105" s="213"/>
      <x:c r="F105" s="388" t="str">
        <x:f t="shared" ref="F105:G106" si="492">IF($E105="","",IF($E105="2추","직접입력","-"))</x:f>
        <x:v/>
      </x:c>
      <x:c r="G105" s="388" t="str">
        <x:f t="shared" si="492"/>
        <x:v/>
      </x:c>
      <x:c r="H105" s="213"/>
      <x:c r="I105" s="156" t="str">
        <x:f>IF(H105="","",VLOOKUP($H105,구분표!$K$3:$M$147,2,FALSE))</x:f>
        <x:v/>
      </x:c>
      <x:c r="J105" s="156" t="str">
        <x:f>IF(I105="","",VLOOKUP($H105,구분표!$K$3:$M$147,3,FALSE))</x:f>
        <x:v/>
      </x:c>
      <x:c r="K105" s="233"/>
      <x:c r="L105" s="233"/>
      <x:c r="M105" s="459" t="str">
        <x:f t="shared" ref="M105:M106" si="493">IF($E105="","",IF(OR($E105="2추",$E105="1추",$E105="본예산"),"금액입력","-"))</x:f>
        <x:v/>
      </x:c>
      <x:c r="N105" s="459" t="str">
        <x:f t="shared" ref="N105:N106" si="494">IF($E105="","",IF($E105="2추","금액입력","-"))</x:f>
        <x:v/>
      </x:c>
      <x:c r="O105" s="461" t="str">
        <x:f t="shared" si="477"/>
        <x:v/>
      </x:c>
      <x:c r="P105" s="460"/>
      <x:c r="Q105" s="461">
        <x:f t="shared" si="478"/>
        <x:v>0</x:v>
      </x:c>
      <x:c r="R105" s="462"/>
      <x:c r="S105" s="463">
        <x:f t="shared" si="479"/>
        <x:v>0</x:v>
      </x:c>
      <x:c r="T105" s="162" t="str">
        <x:f t="shared" si="480"/>
        <x:v>X</x:v>
      </x:c>
      <x:c r="U105" s="230"/>
      <x:c r="V105" s="224"/>
      <x:c r="W105" s="217"/>
      <x:c r="X105" s="234"/>
      <x:c r="Y105" s="217"/>
      <x:c r="Z105" s="356" t="str">
        <x:f t="shared" si="481"/>
        <x:v/>
      </x:c>
      <x:c r="AA105" s="61"/>
      <x:c r="AB105" s="486" t="str">
        <x:f t="shared" si="482"/>
        <x:v/>
      </x:c>
      <x:c r="AC105" s="487">
        <x:f t="shared" si="483"/>
        <x:v>0</x:v>
      </x:c>
      <x:c r="AD105" s="356" t="str">
        <x:f t="shared" si="484"/>
        <x:v>OK</x:v>
      </x:c>
      <x:c r="AE105" s="8"/>
      <x:c r="AF105" s="502" t="str">
        <x:f t="shared" si="485"/>
        <x:v/>
      </x:c>
      <x:c r="AG105" s="503">
        <x:f t="shared" si="486"/>
        <x:v>0</x:v>
      </x:c>
      <x:c r="AH105" s="381" t="str">
        <x:f t="shared" si="487"/>
        <x:v>OK</x:v>
      </x:c>
      <x:c r="AI105" s="8"/>
      <x:c r="AJ105" s="221" t="str">
        <x:f t="shared" si="488"/>
        <x:v/>
      </x:c>
      <x:c r="AK105" s="356" t="str">
        <x:f t="shared" si="489"/>
        <x:v/>
      </x:c>
      <x:c r="AL105" s="356" t="str">
        <x:f t="shared" si="490"/>
        <x:v/>
      </x:c>
      <x:c r="AM105" s="356" t="str">
        <x:f t="shared" si="491"/>
        <x:v/>
      </x:c>
      <x:c r="AN105" s="356" t="str">
        <x:f>IF($AM105="","",IF($AM105="도비","OK",IF($AJ105="세입없음","OK",IF($AJ105="세입번호입력","@@",IF(VLOOKUP($AJ105,'5. 기입'!$AH$6:$AI$1012,2,FALSE)='5. 기출'!$AM105,"OK","@@")))))</x:f>
        <x:v/>
      </x:c>
    </x:row>
    <x:row r="106" spans="1:40" s="20" customFormat="1" ht="80.099999999999994" customHeight="1">
      <x:c r="A106" s="155" t="str">
        <x:f>IF(D106="","",COUNTA($C$7:C106)-COUNTBLANK($C$7:C106)+25)</x:f>
        <x:v/>
      </x:c>
      <x:c r="B106" s="156" t="str">
        <x: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x:f>
        <x:v/>
      </x:c>
      <x:c r="C106" s="156" t="str">
        <x:f>IF(D106="","",IF(OR(D106="교육지원과",D106="총무과",D106="인사과"),"직접입력",VLOOKUP(D106,구분표!$A$3:$C$258,3,)))</x:f>
        <x:v/>
      </x:c>
      <x:c r="D106" s="226"/>
      <x:c r="E106" s="213"/>
      <x:c r="F106" s="388" t="str">
        <x:f t="shared" si="492"/>
        <x:v/>
      </x:c>
      <x:c r="G106" s="388" t="str">
        <x:f t="shared" si="492"/>
        <x:v/>
      </x:c>
      <x:c r="H106" s="213"/>
      <x:c r="I106" s="156" t="str">
        <x:f>IF(H106="","",VLOOKUP($H106,구분표!$K$3:$M$147,2,FALSE))</x:f>
        <x:v/>
      </x:c>
      <x:c r="J106" s="156" t="str">
        <x:f>IF(I106="","",VLOOKUP($H106,구분표!$K$3:$M$147,3,FALSE))</x:f>
        <x:v/>
      </x:c>
      <x:c r="K106" s="233"/>
      <x:c r="L106" s="233"/>
      <x:c r="M106" s="459" t="str">
        <x:f t="shared" si="493"/>
        <x:v/>
      </x:c>
      <x:c r="N106" s="459" t="str">
        <x:f t="shared" si="494"/>
        <x:v/>
      </x:c>
      <x:c r="O106" s="461" t="str">
        <x:f t="shared" si="477"/>
        <x:v/>
      </x:c>
      <x:c r="P106" s="460"/>
      <x:c r="Q106" s="461">
        <x:f t="shared" si="478"/>
        <x:v>0</x:v>
      </x:c>
      <x:c r="R106" s="462"/>
      <x:c r="S106" s="463">
        <x:f t="shared" si="479"/>
        <x:v>0</x:v>
      </x:c>
      <x:c r="T106" s="162" t="str">
        <x:f t="shared" si="480"/>
        <x:v>X</x:v>
      </x:c>
      <x:c r="U106" s="230"/>
      <x:c r="V106" s="224"/>
      <x:c r="W106" s="217"/>
      <x:c r="X106" s="234"/>
      <x:c r="Y106" s="217"/>
      <x:c r="Z106" s="356" t="str">
        <x:f t="shared" si="481"/>
        <x:v/>
      </x:c>
      <x:c r="AA106" s="61"/>
      <x:c r="AB106" s="486" t="str">
        <x:f t="shared" si="482"/>
        <x:v/>
      </x:c>
      <x:c r="AC106" s="487">
        <x:f t="shared" si="483"/>
        <x:v>0</x:v>
      </x:c>
      <x:c r="AD106" s="356" t="str">
        <x:f t="shared" si="484"/>
        <x:v>OK</x:v>
      </x:c>
      <x:c r="AE106" s="8"/>
      <x:c r="AF106" s="502" t="str">
        <x:f t="shared" si="485"/>
        <x:v/>
      </x:c>
      <x:c r="AG106" s="503">
        <x:f t="shared" si="486"/>
        <x:v>0</x:v>
      </x:c>
      <x:c r="AH106" s="381" t="str">
        <x:f t="shared" si="487"/>
        <x:v>OK</x:v>
      </x:c>
      <x:c r="AI106" s="8"/>
      <x:c r="AJ106" s="221" t="str">
        <x:f t="shared" si="488"/>
        <x:v/>
      </x:c>
      <x:c r="AK106" s="356" t="str">
        <x:f t="shared" si="489"/>
        <x:v/>
      </x:c>
      <x:c r="AL106" s="356" t="str">
        <x:f t="shared" si="490"/>
        <x:v/>
      </x:c>
      <x:c r="AM106" s="356" t="str">
        <x:f t="shared" si="491"/>
        <x:v/>
      </x:c>
      <x:c r="AN106" s="356" t="str">
        <x:f>IF($AM106="","",IF($AM106="도비","OK",IF($AJ106="세입없음","OK",IF($AJ106="세입번호입력","@@",IF(VLOOKUP($AJ106,'5. 기입'!$AH$6:$AI$1012,2,FALSE)='5. 기출'!$AM106,"OK","@@")))))</x:f>
        <x:v/>
      </x:c>
    </x:row>
    <x:row r="107" spans="1:40" ht="60" customHeight="1">
      <x:c r="A107" s="167"/>
      <x:c r="B107" s="888" t="s">
        <x:v>876</x:v>
      </x:c>
      <x:c r="C107" s="888"/>
      <x:c r="D107" s="888"/>
      <x:c r="E107" s="888"/>
      <x:c r="F107" s="888"/>
      <x:c r="G107" s="888"/>
      <x:c r="H107" s="888"/>
      <x:c r="I107" s="888"/>
      <x:c r="J107" s="888"/>
      <x:c r="K107" s="83"/>
      <x:c r="L107" s="363" t="str">
        <x:f>SUBTOTAL(3,L108:L110)&amp;"건"</x:f>
        <x:v>0건</x:v>
      </x:c>
      <x:c r="M107" s="477">
        <x:f>SUBTOTAL(9,M108:M110)</x:f>
        <x:v>0</x:v>
      </x:c>
      <x:c r="N107" s="477">
        <x:f t="shared" ref="N107:S107" si="495">SUBTOTAL(9,N108:N110)</x:f>
        <x:v>0</x:v>
      </x:c>
      <x:c r="O107" s="477">
        <x:f t="shared" si="495"/>
        <x:v>0</x:v>
      </x:c>
      <x:c r="P107" s="477">
        <x:f t="shared" si="495"/>
        <x:v>0</x:v>
      </x:c>
      <x:c r="Q107" s="477">
        <x:f t="shared" si="495"/>
        <x:v>0</x:v>
      </x:c>
      <x:c r="R107" s="477">
        <x:f t="shared" si="495"/>
        <x:v>0</x:v>
      </x:c>
      <x:c r="S107" s="477">
        <x:f t="shared" si="495"/>
        <x:v>0</x:v>
      </x:c>
      <x:c r="T107" s="82"/>
      <x:c r="U107" s="84"/>
      <x:c r="V107" s="84"/>
      <x:c r="W107" s="85"/>
      <x:c r="Y107" s="86"/>
      <x:c r="Z107" s="82"/>
      <x:c r="AA107" s="44"/>
      <x:c r="AB107" s="477">
        <x:f t="shared" ref="AB107:AC107" si="496">SUBTOTAL(9,AB108:AB110)</x:f>
        <x:v>0</x:v>
      </x:c>
      <x:c r="AC107" s="477">
        <x:f t="shared" si="496"/>
        <x:v>0</x:v>
      </x:c>
      <x:c r="AD107" s="556" t="str">
        <x:f>IF(COUNTIF(AD108:AD110,"@@")&gt;0,"@@","OK")</x:f>
        <x:v>OK</x:v>
      </x:c>
      <x:c r="AE107" s="53"/>
      <x:c r="AF107" s="477">
        <x:f t="shared" ref="AF107:AG107" si="497">SUBTOTAL(9,AF108:AF110)</x:f>
        <x:v>0</x:v>
      </x:c>
      <x:c r="AG107" s="477">
        <x:f t="shared" si="497"/>
        <x:v>0</x:v>
      </x:c>
      <x:c r="AH107" s="556" t="str">
        <x:f>IF(COUNTIF(AH108:AH110,"@@")&gt;0,"@@","OK")</x:f>
        <x:v>OK</x:v>
      </x:c>
      <x:c r="AI107" s="44"/>
      <x:c r="AJ107" s="81"/>
      <x:c r="AK107" s="81"/>
      <x:c r="AL107" s="556" t="str">
        <x:f>IF(COUNTIF(AL108:AL110,"@@")&gt;0,"@@","OK")</x:f>
        <x:v>OK</x:v>
      </x:c>
      <x:c r="AM107" s="81"/>
      <x:c r="AN107" s="556" t="str">
        <x:f>IF(COUNTIF(AN108:AN110,"@@")&gt;0,"@@","OK")</x:f>
        <x:v>OK</x:v>
      </x:c>
    </x:row>
    <x:row r="108" spans="1:40" s="20" customFormat="1" ht="80.099999999999994" customHeight="1">
      <x:c r="A108" s="155" t="str">
        <x:f>IF(D108="","",COUNTA($C$7:C108)-COUNTBLANK($C$7:C108)+26)</x:f>
        <x:v/>
      </x:c>
      <x:c r="B108" s="156" t="str">
        <x: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x:f>
        <x:v/>
      </x:c>
      <x:c r="C108" s="156" t="str">
        <x:f>IF(D108="","",IF(OR(D108="교육지원과",D108="총무과",D108="인사과"),"직접입력",VLOOKUP(D108,구분표!$A$3:$C$258,3,)))</x:f>
        <x:v/>
      </x:c>
      <x:c r="D108" s="226"/>
      <x:c r="E108" s="213"/>
      <x:c r="F108" s="388" t="str">
        <x:f>IF($E108="","",IF($E108="2추","직접입력","-"))</x:f>
        <x:v/>
      </x:c>
      <x:c r="G108" s="388" t="str">
        <x:f>IF($E108="","",IF($E108="2추","직접입력","-"))</x:f>
        <x:v/>
      </x:c>
      <x:c r="H108" s="213"/>
      <x:c r="I108" s="156" t="str">
        <x:f>IF(H108="","",VLOOKUP($H108,구분표!$K$3:$M$147,2,FALSE))</x:f>
        <x:v/>
      </x:c>
      <x:c r="J108" s="156" t="str">
        <x:f>IF(I108="","",VLOOKUP($H108,구분표!$K$3:$M$147,3,FALSE))</x:f>
        <x:v/>
      </x:c>
      <x:c r="K108" s="233"/>
      <x:c r="L108" s="233"/>
      <x:c r="M108" s="459" t="str">
        <x:f>IF($E108="","",IF(OR($E108="2추",$E108="1추",$E108="본예산"),"금액입력","-"))</x:f>
        <x:v/>
      </x:c>
      <x:c r="N108" s="459" t="str">
        <x:f>IF($E108="","",IF($E108="2추","금액입력","-"))</x:f>
        <x:v/>
      </x:c>
      <x:c r="O108" s="461" t="str">
        <x:f t="shared" ref="O108:O110" si="498">IF($E108="","",SUM(M108:N108))</x:f>
        <x:v/>
      </x:c>
      <x:c r="P108" s="460"/>
      <x:c r="Q108" s="461">
        <x:f t="shared" ref="Q108:Q110" si="499">SUM(O108:P108)</x:f>
        <x:v>0</x:v>
      </x:c>
      <x:c r="R108" s="462"/>
      <x:c r="S108" s="463">
        <x:f t="shared" ref="S108:S110" si="500">SUM(O108,R108)</x:f>
        <x:v>0</x:v>
      </x:c>
      <x:c r="T108" s="162" t="str">
        <x:f t="shared" ref="T108:T110" si="501">IF(AND((Q108=0),(S108&gt;0)),"O",IF(AND((P108&lt;0),(Q108-S108&lt;0)),"O","X"))</x:f>
        <x:v>X</x:v>
      </x:c>
      <x:c r="U108" s="230"/>
      <x:c r="V108" s="224"/>
      <x:c r="W108" s="217"/>
      <x:c r="X108" s="234"/>
      <x:c r="Y108" s="217"/>
      <x:c r="Z108" s="356" t="str">
        <x:f t="shared" ref="Z108:Z110" si="502">IF($K108="","",IF(COUNT(FIND("국비/",$K108)),"국도비",IF(COUNT(FIND("균특/",$K108)),"국도비",IF(COUNT(FIND("기금/",$K108)),"국도비",IF(COUNT(FIND("교부세/",$K108)),"국도비",IF(COUNT(FIND("소방안전/",$K108)),"국도비",IF(COUNT(FIND("소멸대응/",$K108)),"국도비","도비")))))))</x:f>
        <x:v/>
      </x:c>
      <x:c r="AA108" s="61"/>
      <x:c r="AB108" s="486" t="str">
        <x:f t="shared" ref="AB108:AB110" si="503">IF($Z108="","",IF($Z108="국도비","금액입력",0))</x:f>
        <x:v/>
      </x:c>
      <x:c r="AC108" s="487">
        <x:f t="shared" ref="AC108:AC110" si="504">IFERROR(P108-AB108,0)</x:f>
        <x:v>0</x:v>
      </x:c>
      <x:c r="AD108" s="356" t="str">
        <x:f t="shared" ref="AD108:AD110" si="505">IF($P108=SUM($AB108:$AC108),"OK","@@")</x:f>
        <x:v>OK</x:v>
      </x:c>
      <x:c r="AE108" s="8"/>
      <x:c r="AF108" s="502" t="str">
        <x:f t="shared" ref="AF108:AF110" si="506">IF($Z108="","",IF($Z108="국도비","금액입력",0))</x:f>
        <x:v/>
      </x:c>
      <x:c r="AG108" s="503">
        <x:f t="shared" ref="AG108:AG110" si="507">IFERROR(R108-AF108,0)</x:f>
        <x:v>0</x:v>
      </x:c>
      <x:c r="AH108" s="381" t="str">
        <x:f t="shared" ref="AH108:AH110" si="508">IF($R108=SUM($AF108:$AG108),"OK","@@")</x:f>
        <x:v>OK</x:v>
      </x:c>
      <x:c r="AI108" s="8"/>
      <x:c r="AJ108" s="221" t="str">
        <x:f t="shared" ref="AJ108:AJ110" si="509">IF($Z108="","",IF($Z108="도비","-","세입번호입력"))</x:f>
        <x:v/>
      </x:c>
      <x:c r="AK108" s="356" t="str">
        <x:f t="shared" ref="AK108:AK110" si="510">IF(OR(AJ108="",AJ108="-",AJ108="세입번호입력"),"",COUNTIF($AJ$7:$AJ$1013,AJ108))</x:f>
        <x:v/>
      </x:c>
      <x:c r="AL108" s="356" t="str">
        <x:f t="shared" ref="AL108:AL110" si="511">IF($AJ108="","",IF($Z108="도비","OK",IF(AND($Z108="국도비",$AJ108="세입없음"),"OK",IF(AND($Z108="국도비",$AJ108="세입번호입력"),"@@","OK"))))</x:f>
        <x:v/>
      </x:c>
      <x:c r="AM108" s="356" t="str">
        <x:f t="shared" ref="AM108:AM110" si="512">IF($K108="","",IF(COUNT(FIND("국비/",$K108)),"국비",IF(COUNT(FIND("균특/",$K108)),"균특",IF(COUNT(FIND("기금/",$K108)),"기금",IF(COUNT(FIND("교부세/",$K108)),"특교",IF(COUNT(FIND("소방안전/",$K108)),"소교",IF(COUNT(FIND("소멸대응/",$K108)),"소멸","도비")))))))</x:f>
        <x:v/>
      </x:c>
      <x:c r="AN108" s="356" t="str">
        <x:f>IF($AM108="","",IF($AM108="도비","OK",IF($AJ108="세입없음","OK",IF($AJ108="세입번호입력","@@",IF(VLOOKUP($AJ108,'5. 기입'!$AH$6:$AI$1012,2,FALSE)='5. 기출'!$AM108,"OK","@@")))))</x:f>
        <x:v/>
      </x:c>
    </x:row>
    <x:row r="109" spans="1:40" s="20" customFormat="1" ht="79.5" customHeight="1">
      <x:c r="A109" s="155" t="str">
        <x:f>IF(D109="","",COUNTA($C$7:C109)-COUNTBLANK($C$7:C109)+26)</x:f>
        <x:v/>
      </x:c>
      <x:c r="B109" s="156" t="str">
        <x: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x:f>
        <x:v/>
      </x:c>
      <x:c r="C109" s="156" t="str">
        <x:f>IF(D109="","",IF(OR(D109="교육지원과",D109="총무과",D109="인사과"),"직접입력",VLOOKUP(D109,구분표!$A$3:$C$258,3,)))</x:f>
        <x:v/>
      </x:c>
      <x:c r="D109" s="226"/>
      <x:c r="E109" s="213"/>
      <x:c r="F109" s="388" t="str">
        <x:f t="shared" ref="F109:G110" si="513">IF($E109="","",IF($E109="2추","직접입력","-"))</x:f>
        <x:v/>
      </x:c>
      <x:c r="G109" s="388" t="str">
        <x:f t="shared" si="513"/>
        <x:v/>
      </x:c>
      <x:c r="H109" s="213"/>
      <x:c r="I109" s="156" t="str">
        <x:f>IF(H109="","",VLOOKUP($H109,구분표!$K$3:$M$147,2,FALSE))</x:f>
        <x:v/>
      </x:c>
      <x:c r="J109" s="156" t="str">
        <x:f>IF(I109="","",VLOOKUP($H109,구분표!$K$3:$M$147,3,FALSE))</x:f>
        <x:v/>
      </x:c>
      <x:c r="K109" s="233"/>
      <x:c r="L109" s="233"/>
      <x:c r="M109" s="459" t="str">
        <x:f t="shared" ref="M109:M110" si="514">IF($E109="","",IF(OR($E109="2추",$E109="1추",$E109="본예산"),"금액입력","-"))</x:f>
        <x:v/>
      </x:c>
      <x:c r="N109" s="459" t="str">
        <x:f t="shared" ref="N109:N110" si="515">IF($E109="","",IF($E109="2추","금액입력","-"))</x:f>
        <x:v/>
      </x:c>
      <x:c r="O109" s="461" t="str">
        <x:f t="shared" si="498"/>
        <x:v/>
      </x:c>
      <x:c r="P109" s="460"/>
      <x:c r="Q109" s="461">
        <x:f t="shared" si="499"/>
        <x:v>0</x:v>
      </x:c>
      <x:c r="R109" s="462"/>
      <x:c r="S109" s="463">
        <x:f t="shared" si="500"/>
        <x:v>0</x:v>
      </x:c>
      <x:c r="T109" s="162" t="str">
        <x:f t="shared" si="501"/>
        <x:v>X</x:v>
      </x:c>
      <x:c r="U109" s="230"/>
      <x:c r="V109" s="224"/>
      <x:c r="W109" s="217"/>
      <x:c r="X109" s="234"/>
      <x:c r="Y109" s="217"/>
      <x:c r="Z109" s="356" t="str">
        <x:f t="shared" si="502"/>
        <x:v/>
      </x:c>
      <x:c r="AA109" s="61"/>
      <x:c r="AB109" s="486" t="str">
        <x:f t="shared" si="503"/>
        <x:v/>
      </x:c>
      <x:c r="AC109" s="487">
        <x:f t="shared" si="504"/>
        <x:v>0</x:v>
      </x:c>
      <x:c r="AD109" s="356" t="str">
        <x:f t="shared" si="505"/>
        <x:v>OK</x:v>
      </x:c>
      <x:c r="AE109" s="8"/>
      <x:c r="AF109" s="502" t="str">
        <x:f t="shared" si="506"/>
        <x:v/>
      </x:c>
      <x:c r="AG109" s="503">
        <x:f t="shared" si="507"/>
        <x:v>0</x:v>
      </x:c>
      <x:c r="AH109" s="381" t="str">
        <x:f t="shared" si="508"/>
        <x:v>OK</x:v>
      </x:c>
      <x:c r="AI109" s="8"/>
      <x:c r="AJ109" s="221" t="str">
        <x:f t="shared" si="509"/>
        <x:v/>
      </x:c>
      <x:c r="AK109" s="356" t="str">
        <x:f t="shared" si="510"/>
        <x:v/>
      </x:c>
      <x:c r="AL109" s="356" t="str">
        <x:f t="shared" si="511"/>
        <x:v/>
      </x:c>
      <x:c r="AM109" s="356" t="str">
        <x:f t="shared" si="512"/>
        <x:v/>
      </x:c>
      <x:c r="AN109" s="356" t="str">
        <x:f>IF($AM109="","",IF($AM109="도비","OK",IF($AJ109="세입없음","OK",IF($AJ109="세입번호입력","@@",IF(VLOOKUP($AJ109,'5. 기입'!$AH$6:$AI$1012,2,FALSE)='5. 기출'!$AM109,"OK","@@")))))</x:f>
        <x:v/>
      </x:c>
    </x:row>
    <x:row r="110" spans="1:40" s="20" customFormat="1" ht="80.099999999999994" customHeight="1">
      <x:c r="A110" s="155" t="str">
        <x:f>IF(D110="","",COUNTA($C$7:C110)-COUNTBLANK($C$7:C110)+26)</x:f>
        <x:v/>
      </x:c>
      <x:c r="B110" s="156" t="str">
        <x: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x:f>
        <x:v/>
      </x:c>
      <x:c r="C110" s="156" t="str">
        <x:f>IF(D110="","",IF(OR(D110="교육지원과",D110="총무과",D110="인사과"),"직접입력",VLOOKUP(D110,구분표!$A$3:$C$258,3,)))</x:f>
        <x:v/>
      </x:c>
      <x:c r="D110" s="226"/>
      <x:c r="E110" s="213"/>
      <x:c r="F110" s="388" t="str">
        <x:f t="shared" si="513"/>
        <x:v/>
      </x:c>
      <x:c r="G110" s="388" t="str">
        <x:f t="shared" si="513"/>
        <x:v/>
      </x:c>
      <x:c r="H110" s="213"/>
      <x:c r="I110" s="156" t="str">
        <x:f>IF(H110="","",VLOOKUP($H110,구분표!$K$3:$M$147,2,FALSE))</x:f>
        <x:v/>
      </x:c>
      <x:c r="J110" s="156" t="str">
        <x:f>IF(I110="","",VLOOKUP($H110,구분표!$K$3:$M$147,3,FALSE))</x:f>
        <x:v/>
      </x:c>
      <x:c r="K110" s="233"/>
      <x:c r="L110" s="233"/>
      <x:c r="M110" s="459" t="str">
        <x:f t="shared" si="514"/>
        <x:v/>
      </x:c>
      <x:c r="N110" s="459" t="str">
        <x:f t="shared" si="515"/>
        <x:v/>
      </x:c>
      <x:c r="O110" s="461" t="str">
        <x:f t="shared" si="498"/>
        <x:v/>
      </x:c>
      <x:c r="P110" s="460"/>
      <x:c r="Q110" s="461">
        <x:f t="shared" si="499"/>
        <x:v>0</x:v>
      </x:c>
      <x:c r="R110" s="462"/>
      <x:c r="S110" s="463">
        <x:f t="shared" si="500"/>
        <x:v>0</x:v>
      </x:c>
      <x:c r="T110" s="162" t="str">
        <x:f t="shared" si="501"/>
        <x:v>X</x:v>
      </x:c>
      <x:c r="U110" s="230"/>
      <x:c r="V110" s="224"/>
      <x:c r="W110" s="217"/>
      <x:c r="X110" s="234"/>
      <x:c r="Y110" s="217"/>
      <x:c r="Z110" s="356" t="str">
        <x:f t="shared" si="502"/>
        <x:v/>
      </x:c>
      <x:c r="AA110" s="61"/>
      <x:c r="AB110" s="486" t="str">
        <x:f t="shared" si="503"/>
        <x:v/>
      </x:c>
      <x:c r="AC110" s="487">
        <x:f t="shared" si="504"/>
        <x:v>0</x:v>
      </x:c>
      <x:c r="AD110" s="356" t="str">
        <x:f t="shared" si="505"/>
        <x:v>OK</x:v>
      </x:c>
      <x:c r="AE110" s="8"/>
      <x:c r="AF110" s="502" t="str">
        <x:f t="shared" si="506"/>
        <x:v/>
      </x:c>
      <x:c r="AG110" s="503">
        <x:f t="shared" si="507"/>
        <x:v>0</x:v>
      </x:c>
      <x:c r="AH110" s="381" t="str">
        <x:f t="shared" si="508"/>
        <x:v>OK</x:v>
      </x:c>
      <x:c r="AI110" s="8"/>
      <x:c r="AJ110" s="221" t="str">
        <x:f t="shared" si="509"/>
        <x:v/>
      </x:c>
      <x:c r="AK110" s="356" t="str">
        <x:f t="shared" si="510"/>
        <x:v/>
      </x:c>
      <x:c r="AL110" s="356" t="str">
        <x:f t="shared" si="511"/>
        <x:v/>
      </x:c>
      <x:c r="AM110" s="356" t="str">
        <x:f t="shared" si="512"/>
        <x:v/>
      </x:c>
      <x:c r="AN110" s="356" t="str">
        <x:f>IF($AM110="","",IF($AM110="도비","OK",IF($AJ110="세입없음","OK",IF($AJ110="세입번호입력","@@",IF(VLOOKUP($AJ110,'5. 기입'!$AH$6:$AI$1012,2,FALSE)='5. 기출'!$AM110,"OK","@@")))))</x:f>
        <x:v/>
      </x:c>
    </x:row>
    <x:row r="111" spans="1:40" ht="60" customHeight="1">
      <x:c r="A111" s="167"/>
      <x:c r="B111" s="888" t="s">
        <x:v>1038</x:v>
      </x:c>
      <x:c r="C111" s="888"/>
      <x:c r="D111" s="888"/>
      <x:c r="E111" s="888"/>
      <x:c r="F111" s="888"/>
      <x:c r="G111" s="888"/>
      <x:c r="H111" s="888"/>
      <x:c r="I111" s="888"/>
      <x:c r="J111" s="888"/>
      <x:c r="K111" s="83"/>
      <x:c r="L111" s="363" t="str">
        <x:f>SUBTOTAL(3,L112:L114)&amp;"건"</x:f>
        <x:v>0건</x:v>
      </x:c>
      <x:c r="M111" s="477">
        <x:f>SUBTOTAL(9,M112:M114)</x:f>
        <x:v>0</x:v>
      </x:c>
      <x:c r="N111" s="477">
        <x:f t="shared" ref="N111:S111" si="516">SUBTOTAL(9,N112:N114)</x:f>
        <x:v>0</x:v>
      </x:c>
      <x:c r="O111" s="477">
        <x:f t="shared" si="516"/>
        <x:v>0</x:v>
      </x:c>
      <x:c r="P111" s="477">
        <x:f t="shared" si="516"/>
        <x:v>0</x:v>
      </x:c>
      <x:c r="Q111" s="477">
        <x:f t="shared" si="516"/>
        <x:v>0</x:v>
      </x:c>
      <x:c r="R111" s="477">
        <x:f t="shared" si="516"/>
        <x:v>0</x:v>
      </x:c>
      <x:c r="S111" s="477">
        <x:f t="shared" si="516"/>
        <x:v>0</x:v>
      </x:c>
      <x:c r="T111" s="82"/>
      <x:c r="U111" s="84"/>
      <x:c r="V111" s="84"/>
      <x:c r="W111" s="85"/>
      <x:c r="Y111" s="86"/>
      <x:c r="Z111" s="82"/>
      <x:c r="AA111" s="44"/>
      <x:c r="AB111" s="477">
        <x:f t="shared" ref="AB111:AC111" si="517">SUBTOTAL(9,AB112:AB114)</x:f>
        <x:v>0</x:v>
      </x:c>
      <x:c r="AC111" s="477">
        <x:f t="shared" si="517"/>
        <x:v>0</x:v>
      </x:c>
      <x:c r="AD111" s="556" t="str">
        <x:f>IF(COUNTIF(AD112:AD114,"@@")&gt;0,"@@","OK")</x:f>
        <x:v>OK</x:v>
      </x:c>
      <x:c r="AE111" s="53"/>
      <x:c r="AF111" s="477">
        <x:f t="shared" ref="AF111:AG111" si="518">SUBTOTAL(9,AF112:AF114)</x:f>
        <x:v>0</x:v>
      </x:c>
      <x:c r="AG111" s="477">
        <x:f t="shared" si="518"/>
        <x:v>0</x:v>
      </x:c>
      <x:c r="AH111" s="556" t="str">
        <x:f>IF(COUNTIF(AH112:AH114,"@@")&gt;0,"@@","OK")</x:f>
        <x:v>OK</x:v>
      </x:c>
      <x:c r="AI111" s="44"/>
      <x:c r="AJ111" s="81"/>
      <x:c r="AK111" s="81"/>
      <x:c r="AL111" s="556" t="str">
        <x:f>IF(COUNTIF(AL112:AL114,"@@")&gt;0,"@@","OK")</x:f>
        <x:v>OK</x:v>
      </x:c>
      <x:c r="AM111" s="81"/>
      <x:c r="AN111" s="556" t="str">
        <x:f>IF(COUNTIF(AN112:AN114,"@@")&gt;0,"@@","OK")</x:f>
        <x:v>OK</x:v>
      </x:c>
    </x:row>
    <x:row r="112" spans="1:40" s="20" customFormat="1" ht="80.099999999999994" customHeight="1">
      <x:c r="A112" s="155" t="str">
        <x:f>IF(D112="","",COUNTA($C$7:C112)-COUNTBLANK($C$7:C112)+27)</x:f>
        <x:v/>
      </x:c>
      <x:c r="B112" s="156" t="str">
        <x: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x:f>
        <x:v/>
      </x:c>
      <x:c r="C112" s="156" t="str">
        <x:f>IF(D112="","",IF(OR(D112="교육지원과",D112="총무과",D112="인사과"),"직접입력",VLOOKUP(D112,구분표!$A$3:$C$258,3,)))</x:f>
        <x:v/>
      </x:c>
      <x:c r="D112" s="226"/>
      <x:c r="E112" s="213"/>
      <x:c r="F112" s="388" t="str">
        <x:f>IF($E112="","",IF($E112="2추","직접입력","-"))</x:f>
        <x:v/>
      </x:c>
      <x:c r="G112" s="388" t="str">
        <x:f>IF($E112="","",IF($E112="2추","직접입력","-"))</x:f>
        <x:v/>
      </x:c>
      <x:c r="H112" s="213"/>
      <x:c r="I112" s="156" t="str">
        <x:f>IF(H112="","",VLOOKUP($H112,구분표!$K$3:$M$147,2,FALSE))</x:f>
        <x:v/>
      </x:c>
      <x:c r="J112" s="156" t="str">
        <x:f>IF(I112="","",VLOOKUP($H112,구분표!$K$3:$M$147,3,FALSE))</x:f>
        <x:v/>
      </x:c>
      <x:c r="K112" s="233"/>
      <x:c r="L112" s="233"/>
      <x:c r="M112" s="459" t="str">
        <x:f>IF($E112="","",IF(OR($E112="2추",$E112="1추",$E112="본예산"),"금액입력","-"))</x:f>
        <x:v/>
      </x:c>
      <x:c r="N112" s="459" t="str">
        <x:f>IF($E112="","",IF($E112="2추","금액입력","-"))</x:f>
        <x:v/>
      </x:c>
      <x:c r="O112" s="461" t="str">
        <x:f t="shared" ref="O112:O114" si="519">IF($E112="","",SUM(M112:N112))</x:f>
        <x:v/>
      </x:c>
      <x:c r="P112" s="460"/>
      <x:c r="Q112" s="461">
        <x:f t="shared" ref="Q112:Q114" si="520">SUM(O112:P112)</x:f>
        <x:v>0</x:v>
      </x:c>
      <x:c r="R112" s="462"/>
      <x:c r="S112" s="463">
        <x:f t="shared" ref="S112:S114" si="521">SUM(O112,R112)</x:f>
        <x:v>0</x:v>
      </x:c>
      <x:c r="T112" s="162" t="str">
        <x:f t="shared" ref="T112:T114" si="522">IF(AND((Q112=0),(S112&gt;0)),"O",IF(AND((P112&lt;0),(Q112-S112&lt;0)),"O","X"))</x:f>
        <x:v>X</x:v>
      </x:c>
      <x:c r="U112" s="230"/>
      <x:c r="V112" s="224"/>
      <x:c r="W112" s="217"/>
      <x:c r="X112" s="234"/>
      <x:c r="Y112" s="217"/>
      <x:c r="Z112" s="356" t="str">
        <x:f t="shared" ref="Z112:Z114" si="523">IF($K112="","",IF(COUNT(FIND("국비/",$K112)),"국도비",IF(COUNT(FIND("균특/",$K112)),"국도비",IF(COUNT(FIND("기금/",$K112)),"국도비",IF(COUNT(FIND("교부세/",$K112)),"국도비",IF(COUNT(FIND("소방안전/",$K112)),"국도비",IF(COUNT(FIND("소멸대응/",$K112)),"국도비","도비")))))))</x:f>
        <x:v/>
      </x:c>
      <x:c r="AA112" s="61"/>
      <x:c r="AB112" s="486" t="str">
        <x:f t="shared" ref="AB112:AB114" si="524">IF($Z112="","",IF($Z112="국도비","금액입력",0))</x:f>
        <x:v/>
      </x:c>
      <x:c r="AC112" s="487">
        <x:f t="shared" ref="AC112:AC114" si="525">IFERROR(P112-AB112,0)</x:f>
        <x:v>0</x:v>
      </x:c>
      <x:c r="AD112" s="356" t="str">
        <x:f t="shared" ref="AD112:AD114" si="526">IF($P112=SUM($AB112:$AC112),"OK","@@")</x:f>
        <x:v>OK</x:v>
      </x:c>
      <x:c r="AE112" s="8"/>
      <x:c r="AF112" s="502" t="str">
        <x:f t="shared" ref="AF112:AF114" si="527">IF($Z112="","",IF($Z112="국도비","금액입력",0))</x:f>
        <x:v/>
      </x:c>
      <x:c r="AG112" s="503">
        <x:f t="shared" ref="AG112:AG114" si="528">IFERROR(R112-AF112,0)</x:f>
        <x:v>0</x:v>
      </x:c>
      <x:c r="AH112" s="381" t="str">
        <x:f t="shared" ref="AH112:AH114" si="529">IF($R112=SUM($AF112:$AG112),"OK","@@")</x:f>
        <x:v>OK</x:v>
      </x:c>
      <x:c r="AI112" s="8"/>
      <x:c r="AJ112" s="221" t="str">
        <x:f t="shared" ref="AJ112:AJ114" si="530">IF($Z112="","",IF($Z112="도비","-","세입번호입력"))</x:f>
        <x:v/>
      </x:c>
      <x:c r="AK112" s="356" t="str">
        <x:f t="shared" ref="AK112:AK114" si="531">IF(OR(AJ112="",AJ112="-",AJ112="세입번호입력"),"",COUNTIF($AJ$7:$AJ$1013,AJ112))</x:f>
        <x:v/>
      </x:c>
      <x:c r="AL112" s="356" t="str">
        <x:f t="shared" ref="AL112:AL114" si="532">IF($AJ112="","",IF($Z112="도비","OK",IF(AND($Z112="국도비",$AJ112="세입없음"),"OK",IF(AND($Z112="국도비",$AJ112="세입번호입력"),"@@","OK"))))</x:f>
        <x:v/>
      </x:c>
      <x:c r="AM112" s="356" t="str">
        <x:f t="shared" ref="AM112:AM114" si="533">IF($K112="","",IF(COUNT(FIND("국비/",$K112)),"국비",IF(COUNT(FIND("균특/",$K112)),"균특",IF(COUNT(FIND("기금/",$K112)),"기금",IF(COUNT(FIND("교부세/",$K112)),"특교",IF(COUNT(FIND("소방안전/",$K112)),"소교",IF(COUNT(FIND("소멸대응/",$K112)),"소멸","도비")))))))</x:f>
        <x:v/>
      </x:c>
      <x:c r="AN112" s="356" t="str">
        <x:f>IF($AM112="","",IF($AM112="도비","OK",IF($AJ112="세입없음","OK",IF($AJ112="세입번호입력","@@",IF(VLOOKUP($AJ112,'5. 기입'!$AH$6:$AI$1012,2,FALSE)='5. 기출'!$AM112,"OK","@@")))))</x:f>
        <x:v/>
      </x:c>
    </x:row>
    <x:row r="113" spans="1:40" s="20" customFormat="1" ht="79.5" customHeight="1">
      <x:c r="A113" s="155" t="str">
        <x:f>IF(D113="","",COUNTA($C$7:C113)-COUNTBLANK($C$7:C113)+27)</x:f>
        <x:v/>
      </x:c>
      <x:c r="B113" s="156" t="str">
        <x: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x:f>
        <x:v/>
      </x:c>
      <x:c r="C113" s="156" t="str">
        <x:f>IF(D113="","",IF(OR(D113="교육지원과",D113="총무과",D113="인사과"),"직접입력",VLOOKUP(D113,구분표!$A$3:$C$258,3,)))</x:f>
        <x:v/>
      </x:c>
      <x:c r="D113" s="226"/>
      <x:c r="E113" s="213"/>
      <x:c r="F113" s="388" t="str">
        <x:f t="shared" ref="F113:G114" si="534">IF($E113="","",IF($E113="2추","직접입력","-"))</x:f>
        <x:v/>
      </x:c>
      <x:c r="G113" s="388" t="str">
        <x:f t="shared" si="534"/>
        <x:v/>
      </x:c>
      <x:c r="H113" s="213"/>
      <x:c r="I113" s="156" t="str">
        <x:f>IF(H113="","",VLOOKUP($H113,구분표!$K$3:$M$147,2,FALSE))</x:f>
        <x:v/>
      </x:c>
      <x:c r="J113" s="156" t="str">
        <x:f>IF(I113="","",VLOOKUP($H113,구분표!$K$3:$M$147,3,FALSE))</x:f>
        <x:v/>
      </x:c>
      <x:c r="K113" s="233"/>
      <x:c r="L113" s="233"/>
      <x:c r="M113" s="459" t="str">
        <x:f t="shared" ref="M113:M114" si="535">IF($E113="","",IF(OR($E113="2추",$E113="1추",$E113="본예산"),"금액입력","-"))</x:f>
        <x:v/>
      </x:c>
      <x:c r="N113" s="459" t="str">
        <x:f t="shared" ref="N113:N114" si="536">IF($E113="","",IF($E113="2추","금액입력","-"))</x:f>
        <x:v/>
      </x:c>
      <x:c r="O113" s="461" t="str">
        <x:f t="shared" si="519"/>
        <x:v/>
      </x:c>
      <x:c r="P113" s="460"/>
      <x:c r="Q113" s="461">
        <x:f t="shared" si="520"/>
        <x:v>0</x:v>
      </x:c>
      <x:c r="R113" s="462"/>
      <x:c r="S113" s="463">
        <x:f t="shared" si="521"/>
        <x:v>0</x:v>
      </x:c>
      <x:c r="T113" s="162" t="str">
        <x:f t="shared" si="522"/>
        <x:v>X</x:v>
      </x:c>
      <x:c r="U113" s="230"/>
      <x:c r="V113" s="224"/>
      <x:c r="W113" s="217"/>
      <x:c r="X113" s="234"/>
      <x:c r="Y113" s="217"/>
      <x:c r="Z113" s="356" t="str">
        <x:f t="shared" si="523"/>
        <x:v/>
      </x:c>
      <x:c r="AA113" s="61"/>
      <x:c r="AB113" s="486" t="str">
        <x:f t="shared" si="524"/>
        <x:v/>
      </x:c>
      <x:c r="AC113" s="487">
        <x:f t="shared" si="525"/>
        <x:v>0</x:v>
      </x:c>
      <x:c r="AD113" s="356" t="str">
        <x:f t="shared" si="526"/>
        <x:v>OK</x:v>
      </x:c>
      <x:c r="AE113" s="8"/>
      <x:c r="AF113" s="502" t="str">
        <x:f t="shared" si="527"/>
        <x:v/>
      </x:c>
      <x:c r="AG113" s="503">
        <x:f t="shared" si="528"/>
        <x:v>0</x:v>
      </x:c>
      <x:c r="AH113" s="381" t="str">
        <x:f t="shared" si="529"/>
        <x:v>OK</x:v>
      </x:c>
      <x:c r="AI113" s="8"/>
      <x:c r="AJ113" s="221" t="str">
        <x:f t="shared" si="530"/>
        <x:v/>
      </x:c>
      <x:c r="AK113" s="356" t="str">
        <x:f t="shared" si="531"/>
        <x:v/>
      </x:c>
      <x:c r="AL113" s="356" t="str">
        <x:f t="shared" si="532"/>
        <x:v/>
      </x:c>
      <x:c r="AM113" s="356" t="str">
        <x:f t="shared" si="533"/>
        <x:v/>
      </x:c>
      <x:c r="AN113" s="356" t="str">
        <x:f>IF($AM113="","",IF($AM113="도비","OK",IF($AJ113="세입없음","OK",IF($AJ113="세입번호입력","@@",IF(VLOOKUP($AJ113,'5. 기입'!$AH$6:$AI$1012,2,FALSE)='5. 기출'!$AM113,"OK","@@")))))</x:f>
        <x:v/>
      </x:c>
    </x:row>
    <x:row r="114" spans="1:40" s="20" customFormat="1" ht="80.099999999999994" customHeight="1">
      <x:c r="A114" s="155" t="str">
        <x:f>IF(D114="","",COUNTA($C$7:C114)-COUNTBLANK($C$7:C114)+27)</x:f>
        <x:v/>
      </x:c>
      <x:c r="B114" s="156" t="str">
        <x: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x:f>
        <x:v/>
      </x:c>
      <x:c r="C114" s="156" t="str">
        <x:f>IF(D114="","",IF(OR(D114="교육지원과",D114="총무과",D114="인사과"),"직접입력",VLOOKUP(D114,구분표!$A$3:$C$258,3,)))</x:f>
        <x:v/>
      </x:c>
      <x:c r="D114" s="226"/>
      <x:c r="E114" s="213"/>
      <x:c r="F114" s="388" t="str">
        <x:f t="shared" si="534"/>
        <x:v/>
      </x:c>
      <x:c r="G114" s="388" t="str">
        <x:f t="shared" si="534"/>
        <x:v/>
      </x:c>
      <x:c r="H114" s="213"/>
      <x:c r="I114" s="156" t="str">
        <x:f>IF(H114="","",VLOOKUP($H114,구분표!$K$3:$M$147,2,FALSE))</x:f>
        <x:v/>
      </x:c>
      <x:c r="J114" s="156" t="str">
        <x:f>IF(I114="","",VLOOKUP($H114,구분표!$K$3:$M$147,3,FALSE))</x:f>
        <x:v/>
      </x:c>
      <x:c r="K114" s="233"/>
      <x:c r="L114" s="233"/>
      <x:c r="M114" s="459" t="str">
        <x:f t="shared" si="535"/>
        <x:v/>
      </x:c>
      <x:c r="N114" s="459" t="str">
        <x:f t="shared" si="536"/>
        <x:v/>
      </x:c>
      <x:c r="O114" s="461" t="str">
        <x:f t="shared" si="519"/>
        <x:v/>
      </x:c>
      <x:c r="P114" s="460"/>
      <x:c r="Q114" s="461">
        <x:f t="shared" si="520"/>
        <x:v>0</x:v>
      </x:c>
      <x:c r="R114" s="462"/>
      <x:c r="S114" s="463">
        <x:f t="shared" si="521"/>
        <x:v>0</x:v>
      </x:c>
      <x:c r="T114" s="162" t="str">
        <x:f t="shared" si="522"/>
        <x:v>X</x:v>
      </x:c>
      <x:c r="U114" s="230"/>
      <x:c r="V114" s="224"/>
      <x:c r="W114" s="217"/>
      <x:c r="X114" s="234"/>
      <x:c r="Y114" s="217"/>
      <x:c r="Z114" s="356" t="str">
        <x:f t="shared" si="523"/>
        <x:v/>
      </x:c>
      <x:c r="AA114" s="61"/>
      <x:c r="AB114" s="486" t="str">
        <x:f t="shared" si="524"/>
        <x:v/>
      </x:c>
      <x:c r="AC114" s="487">
        <x:f t="shared" si="525"/>
        <x:v>0</x:v>
      </x:c>
      <x:c r="AD114" s="356" t="str">
        <x:f t="shared" si="526"/>
        <x:v>OK</x:v>
      </x:c>
      <x:c r="AE114" s="8"/>
      <x:c r="AF114" s="502" t="str">
        <x:f t="shared" si="527"/>
        <x:v/>
      </x:c>
      <x:c r="AG114" s="503">
        <x:f t="shared" si="528"/>
        <x:v>0</x:v>
      </x:c>
      <x:c r="AH114" s="381" t="str">
        <x:f t="shared" si="529"/>
        <x:v>OK</x:v>
      </x:c>
      <x:c r="AI114" s="8"/>
      <x:c r="AJ114" s="221" t="str">
        <x:f t="shared" si="530"/>
        <x:v/>
      </x:c>
      <x:c r="AK114" s="356" t="str">
        <x:f t="shared" si="531"/>
        <x:v/>
      </x:c>
      <x:c r="AL114" s="356" t="str">
        <x:f t="shared" si="532"/>
        <x:v/>
      </x:c>
      <x:c r="AM114" s="356" t="str">
        <x:f t="shared" si="533"/>
        <x:v/>
      </x:c>
      <x:c r="AN114" s="356" t="str">
        <x:f>IF($AM114="","",IF($AM114="도비","OK",IF($AJ114="세입없음","OK",IF($AJ114="세입번호입력","@@",IF(VLOOKUP($AJ114,'5. 기입'!$AH$6:$AI$1012,2,FALSE)='5. 기출'!$AM114,"OK","@@")))))</x:f>
        <x:v/>
      </x:c>
    </x:row>
    <x:row r="115" spans="1:40" ht="60.75" customHeight="1">
      <x:c r="A115" s="167"/>
      <x:c r="B115" s="888" t="s">
        <x:v>1024</x:v>
      </x:c>
      <x:c r="C115" s="888"/>
      <x:c r="D115" s="888"/>
      <x:c r="E115" s="888"/>
      <x:c r="F115" s="888"/>
      <x:c r="G115" s="888"/>
      <x:c r="H115" s="888"/>
      <x:c r="I115" s="888"/>
      <x:c r="J115" s="888"/>
      <x:c r="K115" s="83"/>
      <x:c r="L115" s="363" t="str">
        <x:f>SUBTOTAL(3,L116:L118)&amp;"건"</x:f>
        <x:v>0건</x:v>
      </x:c>
      <x:c r="M115" s="477">
        <x:f>SUBTOTAL(9,M116:M118)</x:f>
        <x:v>0</x:v>
      </x:c>
      <x:c r="N115" s="477">
        <x:f t="shared" ref="N115:S115" si="537">SUBTOTAL(9,N116:N118)</x:f>
        <x:v>0</x:v>
      </x:c>
      <x:c r="O115" s="477">
        <x:f t="shared" si="537"/>
        <x:v>0</x:v>
      </x:c>
      <x:c r="P115" s="477">
        <x:f t="shared" si="537"/>
        <x:v>0</x:v>
      </x:c>
      <x:c r="Q115" s="477">
        <x:f t="shared" si="537"/>
        <x:v>0</x:v>
      </x:c>
      <x:c r="R115" s="477">
        <x:f t="shared" si="537"/>
        <x:v>0</x:v>
      </x:c>
      <x:c r="S115" s="477">
        <x:f t="shared" si="537"/>
        <x:v>0</x:v>
      </x:c>
      <x:c r="T115" s="82"/>
      <x:c r="U115" s="84"/>
      <x:c r="V115" s="84"/>
      <x:c r="W115" s="85"/>
      <x:c r="Y115" s="86"/>
      <x:c r="Z115" s="82"/>
      <x:c r="AA115" s="44"/>
      <x:c r="AB115" s="477">
        <x:f t="shared" ref="AB115:AC115" si="538">SUBTOTAL(9,AB116:AB118)</x:f>
        <x:v>0</x:v>
      </x:c>
      <x:c r="AC115" s="477">
        <x:f t="shared" si="538"/>
        <x:v>0</x:v>
      </x:c>
      <x:c r="AD115" s="556" t="str">
        <x:f>IF(COUNTIF(AD116:AD118,"@@")&gt;0,"@@","OK")</x:f>
        <x:v>OK</x:v>
      </x:c>
      <x:c r="AE115" s="53"/>
      <x:c r="AF115" s="477">
        <x:f t="shared" ref="AF115:AG115" si="539">SUBTOTAL(9,AF116:AF118)</x:f>
        <x:v>0</x:v>
      </x:c>
      <x:c r="AG115" s="477">
        <x:f t="shared" si="539"/>
        <x:v>0</x:v>
      </x:c>
      <x:c r="AH115" s="556" t="str">
        <x:f>IF(COUNTIF(AH116:AH118,"@@")&gt;0,"@@","OK")</x:f>
        <x:v>OK</x:v>
      </x:c>
      <x:c r="AI115" s="44"/>
      <x:c r="AJ115" s="81"/>
      <x:c r="AK115" s="81"/>
      <x:c r="AL115" s="556" t="str">
        <x:f>IF(COUNTIF(AL116:AL118,"@@")&gt;0,"@@","OK")</x:f>
        <x:v>OK</x:v>
      </x:c>
      <x:c r="AM115" s="81"/>
      <x:c r="AN115" s="556" t="str">
        <x:f>IF(COUNTIF(AN116:AN118,"@@")&gt;0,"@@","OK")</x:f>
        <x:v>OK</x:v>
      </x:c>
    </x:row>
    <x:row r="116" spans="1:40" ht="79.5" customHeight="1">
      <x:c r="A116" s="155" t="str">
        <x:f>IF(D116="","",COUNTA($C$7:C116)-COUNTBLANK($C$7:C116)+28)</x:f>
        <x:v/>
      </x:c>
      <x:c r="B116" s="156" t="str">
        <x: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x:f>
        <x:v/>
      </x:c>
      <x:c r="C116" s="156" t="str">
        <x:f>IF(D116="","",IF(OR(D116="교육지원과",D116="총무과",D116="인사과"),"직접입력",VLOOKUP(D116,구분표!$A$3:$C$258,3,)))</x:f>
        <x:v/>
      </x:c>
      <x:c r="D116" s="226"/>
      <x:c r="E116" s="213"/>
      <x:c r="F116" s="388" t="str">
        <x:f>IF($E116="","",IF($E116="2추","직접입력","-"))</x:f>
        <x:v/>
      </x:c>
      <x:c r="G116" s="388" t="str">
        <x:f>IF($E116="","",IF($E116="2추","직접입력","-"))</x:f>
        <x:v/>
      </x:c>
      <x:c r="H116" s="213"/>
      <x:c r="I116" s="156" t="str">
        <x:f>IF(H116="","",VLOOKUP($H116,구분표!$K$3:$M$147,2,FALSE))</x:f>
        <x:v/>
      </x:c>
      <x:c r="J116" s="156" t="str">
        <x:f>IF(I116="","",VLOOKUP($H116,구분표!$K$3:$M$147,3,FALSE))</x:f>
        <x:v/>
      </x:c>
      <x:c r="K116" s="233"/>
      <x:c r="L116" s="233"/>
      <x:c r="M116" s="459" t="str">
        <x:f>IF($E116="","",IF(OR($E116="2추",$E116="1추",$E116="본예산"),"금액입력","-"))</x:f>
        <x:v/>
      </x:c>
      <x:c r="N116" s="459" t="str">
        <x:f>IF($E116="","",IF($E116="2추","금액입력","-"))</x:f>
        <x:v/>
      </x:c>
      <x:c r="O116" s="461" t="str">
        <x:f t="shared" ref="O116:O118" si="540">IF($E116="","",SUM(M116:N116))</x:f>
        <x:v/>
      </x:c>
      <x:c r="P116" s="460"/>
      <x:c r="Q116" s="461">
        <x:f t="shared" ref="Q116:Q118" si="541">SUM(O116:P116)</x:f>
        <x:v>0</x:v>
      </x:c>
      <x:c r="R116" s="462"/>
      <x:c r="S116" s="463">
        <x:f t="shared" ref="S116:S118" si="542">SUM(O116,R116)</x:f>
        <x:v>0</x:v>
      </x:c>
      <x:c r="T116" s="162" t="str">
        <x:f t="shared" ref="T116:T118" si="543">IF(AND((Q116=0),(S116&gt;0)),"O",IF(AND((P116&lt;0),(Q116-S116&lt;0)),"O","X"))</x:f>
        <x:v>X</x:v>
      </x:c>
      <x:c r="U116" s="230"/>
      <x:c r="V116" s="224"/>
      <x:c r="W116" s="217"/>
      <x:c r="X116" s="234"/>
      <x:c r="Y116" s="217"/>
      <x:c r="Z116" s="356" t="str">
        <x:f t="shared" ref="Z116:Z118" si="544">IF($K116="","",IF(COUNT(FIND("국비/",$K116)),"국도비",IF(COUNT(FIND("균특/",$K116)),"국도비",IF(COUNT(FIND("기금/",$K116)),"국도비",IF(COUNT(FIND("교부세/",$K116)),"국도비",IF(COUNT(FIND("소방안전/",$K116)),"국도비",IF(COUNT(FIND("소멸대응/",$K116)),"국도비","도비")))))))</x:f>
        <x:v/>
      </x:c>
      <x:c r="AA116" s="61"/>
      <x:c r="AB116" s="486" t="str">
        <x:f t="shared" ref="AB116:AB118" si="545">IF($Z116="","",IF($Z116="국도비","금액입력",0))</x:f>
        <x:v/>
      </x:c>
      <x:c r="AC116" s="487">
        <x:f t="shared" ref="AC116:AC118" si="546">IFERROR(P116-AB116,0)</x:f>
        <x:v>0</x:v>
      </x:c>
      <x:c r="AD116" s="356" t="str">
        <x:f t="shared" ref="AD116:AD118" si="547">IF($P116=SUM($AB116:$AC116),"OK","@@")</x:f>
        <x:v>OK</x:v>
      </x:c>
      <x:c r="AE116" s="8"/>
      <x:c r="AF116" s="502" t="str">
        <x:f t="shared" ref="AF116:AF118" si="548">IF($Z116="","",IF($Z116="국도비","금액입력",0))</x:f>
        <x:v/>
      </x:c>
      <x:c r="AG116" s="503">
        <x:f t="shared" ref="AG116:AG118" si="549">IFERROR(R116-AF116,0)</x:f>
        <x:v>0</x:v>
      </x:c>
      <x:c r="AH116" s="381" t="str">
        <x:f t="shared" ref="AH116:AH118" si="550">IF($R116=SUM($AF116:$AG116),"OK","@@")</x:f>
        <x:v>OK</x:v>
      </x:c>
      <x:c r="AI116" s="8"/>
      <x:c r="AJ116" s="221" t="str">
        <x:f t="shared" ref="AJ116:AJ118" si="551">IF($Z116="","",IF($Z116="도비","-","세입번호입력"))</x:f>
        <x:v/>
      </x:c>
      <x:c r="AK116" s="356" t="str">
        <x:f t="shared" ref="AK116:AK118" si="552">IF(OR(AJ116="",AJ116="-",AJ116="세입번호입력"),"",COUNTIF($AJ$7:$AJ$1013,AJ116))</x:f>
        <x:v/>
      </x:c>
      <x:c r="AL116" s="356" t="str">
        <x:f t="shared" ref="AL116:AL118" si="553">IF($AJ116="","",IF($Z116="도비","OK",IF(AND($Z116="국도비",$AJ116="세입없음"),"OK",IF(AND($Z116="국도비",$AJ116="세입번호입력"),"@@","OK"))))</x:f>
        <x:v/>
      </x:c>
      <x:c r="AM116" s="356" t="str">
        <x:f t="shared" ref="AM116:AM118" si="554">IF($K116="","",IF(COUNT(FIND("국비/",$K116)),"국비",IF(COUNT(FIND("균특/",$K116)),"균특",IF(COUNT(FIND("기금/",$K116)),"기금",IF(COUNT(FIND("교부세/",$K116)),"특교",IF(COUNT(FIND("소방안전/",$K116)),"소교",IF(COUNT(FIND("소멸대응/",$K116)),"소멸","도비")))))))</x:f>
        <x:v/>
      </x:c>
      <x:c r="AN116" s="356" t="str">
        <x:f>IF($AM116="","",IF($AM116="도비","OK",IF($AJ116="세입없음","OK",IF($AJ116="세입번호입력","@@",IF(VLOOKUP($AJ116,'5. 기입'!$AH$6:$AI$1012,2,FALSE)='5. 기출'!$AM116,"OK","@@")))))</x:f>
        <x:v/>
      </x:c>
    </x:row>
    <x:row r="117" spans="1:40" ht="79.5" customHeight="1">
      <x:c r="A117" s="155" t="str">
        <x:f>IF(D117="","",COUNTA($C$7:C117)-COUNTBLANK($C$7:C117)+28)</x:f>
        <x:v/>
      </x:c>
      <x:c r="B117" s="156" t="str">
        <x: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x:f>
        <x:v/>
      </x:c>
      <x:c r="C117" s="156" t="str">
        <x:f>IF(D117="","",IF(OR(D117="교육지원과",D117="총무과",D117="인사과"),"직접입력",VLOOKUP(D117,구분표!$A$3:$C$258,3,)))</x:f>
        <x:v/>
      </x:c>
      <x:c r="D117" s="226"/>
      <x:c r="E117" s="213"/>
      <x:c r="F117" s="388" t="str">
        <x:f t="shared" ref="F117:G118" si="555">IF($E117="","",IF($E117="2추","직접입력","-"))</x:f>
        <x:v/>
      </x:c>
      <x:c r="G117" s="388" t="str">
        <x:f t="shared" si="555"/>
        <x:v/>
      </x:c>
      <x:c r="H117" s="213"/>
      <x:c r="I117" s="156" t="str">
        <x:f>IF(H117="","",VLOOKUP($H117,구분표!$K$3:$M$147,2,FALSE))</x:f>
        <x:v/>
      </x:c>
      <x:c r="J117" s="156" t="str">
        <x:f>IF(I117="","",VLOOKUP($H117,구분표!$K$3:$M$147,3,FALSE))</x:f>
        <x:v/>
      </x:c>
      <x:c r="K117" s="233"/>
      <x:c r="L117" s="233"/>
      <x:c r="M117" s="459" t="str">
        <x:f t="shared" ref="M117:M118" si="556">IF($E117="","",IF(OR($E117="2추",$E117="1추",$E117="본예산"),"금액입력","-"))</x:f>
        <x:v/>
      </x:c>
      <x:c r="N117" s="459" t="str">
        <x:f t="shared" ref="N117:N118" si="557">IF($E117="","",IF($E117="2추","금액입력","-"))</x:f>
        <x:v/>
      </x:c>
      <x:c r="O117" s="461" t="str">
        <x:f t="shared" si="540"/>
        <x:v/>
      </x:c>
      <x:c r="P117" s="460"/>
      <x:c r="Q117" s="461">
        <x:f t="shared" si="541"/>
        <x:v>0</x:v>
      </x:c>
      <x:c r="R117" s="462"/>
      <x:c r="S117" s="463">
        <x:f t="shared" si="542"/>
        <x:v>0</x:v>
      </x:c>
      <x:c r="T117" s="162" t="str">
        <x:f t="shared" si="543"/>
        <x:v>X</x:v>
      </x:c>
      <x:c r="U117" s="230"/>
      <x:c r="V117" s="224"/>
      <x:c r="W117" s="217"/>
      <x:c r="X117" s="234"/>
      <x:c r="Y117" s="217"/>
      <x:c r="Z117" s="356" t="str">
        <x:f t="shared" si="544"/>
        <x:v/>
      </x:c>
      <x:c r="AA117" s="61"/>
      <x:c r="AB117" s="486" t="str">
        <x:f t="shared" si="545"/>
        <x:v/>
      </x:c>
      <x:c r="AC117" s="487">
        <x:f t="shared" si="546"/>
        <x:v>0</x:v>
      </x:c>
      <x:c r="AD117" s="356" t="str">
        <x:f t="shared" si="547"/>
        <x:v>OK</x:v>
      </x:c>
      <x:c r="AE117" s="8"/>
      <x:c r="AF117" s="502" t="str">
        <x:f t="shared" si="548"/>
        <x:v/>
      </x:c>
      <x:c r="AG117" s="503">
        <x:f t="shared" si="549"/>
        <x:v>0</x:v>
      </x:c>
      <x:c r="AH117" s="381" t="str">
        <x:f t="shared" si="550"/>
        <x:v>OK</x:v>
      </x:c>
      <x:c r="AI117" s="8"/>
      <x:c r="AJ117" s="221" t="str">
        <x:f t="shared" si="551"/>
        <x:v/>
      </x:c>
      <x:c r="AK117" s="356" t="str">
        <x:f t="shared" si="552"/>
        <x:v/>
      </x:c>
      <x:c r="AL117" s="356" t="str">
        <x:f t="shared" si="553"/>
        <x:v/>
      </x:c>
      <x:c r="AM117" s="356" t="str">
        <x:f t="shared" si="554"/>
        <x:v/>
      </x:c>
      <x:c r="AN117" s="356" t="str">
        <x:f>IF($AM117="","",IF($AM117="도비","OK",IF($AJ117="세입없음","OK",IF($AJ117="세입번호입력","@@",IF(VLOOKUP($AJ117,'5. 기입'!$AH$6:$AI$1012,2,FALSE)='5. 기출'!$AM117,"OK","@@")))))</x:f>
        <x:v/>
      </x:c>
    </x:row>
    <x:row r="118" spans="1:40" ht="79.5" customHeight="1">
      <x:c r="A118" s="155" t="str">
        <x:f>IF(D118="","",COUNTA($C$7:C118)-COUNTBLANK($C$7:C118)+28)</x:f>
        <x:v/>
      </x:c>
      <x:c r="B118" s="156" t="str">
        <x: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x:f>
        <x:v/>
      </x:c>
      <x:c r="C118" s="156" t="str">
        <x:f>IF(D118="","",IF(OR(D118="교육지원과",D118="총무과",D118="인사과"),"직접입력",VLOOKUP(D118,구분표!$A$3:$C$258,3,)))</x:f>
        <x:v/>
      </x:c>
      <x:c r="D118" s="226"/>
      <x:c r="E118" s="213"/>
      <x:c r="F118" s="388" t="str">
        <x:f t="shared" si="555"/>
        <x:v/>
      </x:c>
      <x:c r="G118" s="388" t="str">
        <x:f t="shared" si="555"/>
        <x:v/>
      </x:c>
      <x:c r="H118" s="213"/>
      <x:c r="I118" s="156" t="str">
        <x:f>IF(H118="","",VLOOKUP($H118,구분표!$K$3:$M$147,2,FALSE))</x:f>
        <x:v/>
      </x:c>
      <x:c r="J118" s="156" t="str">
        <x:f>IF(I118="","",VLOOKUP($H118,구분표!$K$3:$M$147,3,FALSE))</x:f>
        <x:v/>
      </x:c>
      <x:c r="K118" s="233"/>
      <x:c r="L118" s="233"/>
      <x:c r="M118" s="459" t="str">
        <x:f t="shared" si="556"/>
        <x:v/>
      </x:c>
      <x:c r="N118" s="459" t="str">
        <x:f t="shared" si="557"/>
        <x:v/>
      </x:c>
      <x:c r="O118" s="461" t="str">
        <x:f t="shared" si="540"/>
        <x:v/>
      </x:c>
      <x:c r="P118" s="460"/>
      <x:c r="Q118" s="461">
        <x:f t="shared" si="541"/>
        <x:v>0</x:v>
      </x:c>
      <x:c r="R118" s="462"/>
      <x:c r="S118" s="463">
        <x:f t="shared" si="542"/>
        <x:v>0</x:v>
      </x:c>
      <x:c r="T118" s="162" t="str">
        <x:f t="shared" si="543"/>
        <x:v>X</x:v>
      </x:c>
      <x:c r="U118" s="230"/>
      <x:c r="V118" s="224"/>
      <x:c r="W118" s="217"/>
      <x:c r="X118" s="234"/>
      <x:c r="Y118" s="217"/>
      <x:c r="Z118" s="356" t="str">
        <x:f t="shared" si="544"/>
        <x:v/>
      </x:c>
      <x:c r="AA118" s="61"/>
      <x:c r="AB118" s="486" t="str">
        <x:f t="shared" si="545"/>
        <x:v/>
      </x:c>
      <x:c r="AC118" s="487">
        <x:f t="shared" si="546"/>
        <x:v>0</x:v>
      </x:c>
      <x:c r="AD118" s="356" t="str">
        <x:f t="shared" si="547"/>
        <x:v>OK</x:v>
      </x:c>
      <x:c r="AE118" s="8"/>
      <x:c r="AF118" s="502" t="str">
        <x:f t="shared" si="548"/>
        <x:v/>
      </x:c>
      <x:c r="AG118" s="503">
        <x:f t="shared" si="549"/>
        <x:v>0</x:v>
      </x:c>
      <x:c r="AH118" s="381" t="str">
        <x:f t="shared" si="550"/>
        <x:v>OK</x:v>
      </x:c>
      <x:c r="AI118" s="8"/>
      <x:c r="AJ118" s="221" t="str">
        <x:f t="shared" si="551"/>
        <x:v/>
      </x:c>
      <x:c r="AK118" s="356" t="str">
        <x:f t="shared" si="552"/>
        <x:v/>
      </x:c>
      <x:c r="AL118" s="356" t="str">
        <x:f t="shared" si="553"/>
        <x:v/>
      </x:c>
      <x:c r="AM118" s="356" t="str">
        <x:f t="shared" si="554"/>
        <x:v/>
      </x:c>
      <x:c r="AN118" s="356" t="str">
        <x:f>IF($AM118="","",IF($AM118="도비","OK",IF($AJ118="세입없음","OK",IF($AJ118="세입번호입력","@@",IF(VLOOKUP($AJ118,'5. 기입'!$AH$6:$AI$1012,2,FALSE)='5. 기출'!$AM118,"OK","@@")))))</x:f>
        <x:v/>
      </x:c>
    </x:row>
    <x:row r="119" spans="1:40" ht="60.75" customHeight="1">
      <x:c r="A119" s="167"/>
      <x:c r="B119" s="888" t="s">
        <x:v>1344</x:v>
      </x:c>
      <x:c r="C119" s="888"/>
      <x:c r="D119" s="888"/>
      <x:c r="E119" s="888"/>
      <x:c r="F119" s="888"/>
      <x:c r="G119" s="888"/>
      <x:c r="H119" s="888"/>
      <x:c r="I119" s="888"/>
      <x:c r="J119" s="888"/>
      <x:c r="K119" s="83"/>
      <x:c r="L119" s="363" t="str">
        <x:f>SUBTOTAL(3,L120:L122)&amp;"건"</x:f>
        <x:v>0건</x:v>
      </x:c>
      <x:c r="M119" s="477">
        <x:f>SUBTOTAL(9,M120:M122)</x:f>
        <x:v>0</x:v>
      </x:c>
      <x:c r="N119" s="477">
        <x:f t="shared" ref="N119:S119" si="558">SUBTOTAL(9,N120:N122)</x:f>
        <x:v>0</x:v>
      </x:c>
      <x:c r="O119" s="477">
        <x:f t="shared" si="558"/>
        <x:v>0</x:v>
      </x:c>
      <x:c r="P119" s="477">
        <x:f t="shared" si="558"/>
        <x:v>0</x:v>
      </x:c>
      <x:c r="Q119" s="477">
        <x:f t="shared" si="558"/>
        <x:v>0</x:v>
      </x:c>
      <x:c r="R119" s="477">
        <x:f t="shared" si="558"/>
        <x:v>0</x:v>
      </x:c>
      <x:c r="S119" s="477">
        <x:f t="shared" si="558"/>
        <x:v>0</x:v>
      </x:c>
      <x:c r="T119" s="82"/>
      <x:c r="U119" s="84"/>
      <x:c r="V119" s="84"/>
      <x:c r="W119" s="85"/>
      <x:c r="Y119" s="86"/>
      <x:c r="Z119" s="82"/>
      <x:c r="AA119" s="44"/>
      <x:c r="AB119" s="477">
        <x:f t="shared" ref="AB119:AC119" si="559">SUBTOTAL(9,AB120:AB122)</x:f>
        <x:v>0</x:v>
      </x:c>
      <x:c r="AC119" s="477">
        <x:f t="shared" si="559"/>
        <x:v>0</x:v>
      </x:c>
      <x:c r="AD119" s="556" t="str">
        <x:f>IF(COUNTIF(AD120:AD122,"@@")&gt;0,"@@","OK")</x:f>
        <x:v>OK</x:v>
      </x:c>
      <x:c r="AE119" s="53"/>
      <x:c r="AF119" s="477">
        <x:f t="shared" ref="AF119:AG119" si="560">SUBTOTAL(9,AF120:AF122)</x:f>
        <x:v>0</x:v>
      </x:c>
      <x:c r="AG119" s="477">
        <x:f t="shared" si="560"/>
        <x:v>0</x:v>
      </x:c>
      <x:c r="AH119" s="556" t="str">
        <x:f>IF(COUNTIF(AH120:AH122,"@@")&gt;0,"@@","OK")</x:f>
        <x:v>OK</x:v>
      </x:c>
      <x:c r="AI119" s="44"/>
      <x:c r="AJ119" s="81"/>
      <x:c r="AK119" s="81"/>
      <x:c r="AL119" s="556" t="str">
        <x:f>IF(COUNTIF(AL120:AL122,"@@")&gt;0,"@@","OK")</x:f>
        <x:v>OK</x:v>
      </x:c>
      <x:c r="AM119" s="81"/>
      <x:c r="AN119" s="556" t="str">
        <x:f>IF(COUNTIF(AN120:AN122,"@@")&gt;0,"@@","OK")</x:f>
        <x:v>OK</x:v>
      </x:c>
    </x:row>
    <x:row r="120" spans="1:40" ht="79.5" customHeight="1">
      <x:c r="A120" s="155" t="str">
        <x:f>IF(D120="","",COUNTA($C$7:C120)-COUNTBLANK($C$7:C120)+29)</x:f>
        <x:v/>
      </x:c>
      <x:c r="B120" s="156" t="str">
        <x: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x:f>
        <x:v/>
      </x:c>
      <x:c r="C120" s="156" t="str">
        <x:f>IF(D120="","",IF(OR(D120="교육지원과",D120="총무과",D120="인사과"),"직접입력",VLOOKUP(D120,구분표!$A$3:$C$258,3,)))</x:f>
        <x:v/>
      </x:c>
      <x:c r="D120" s="226"/>
      <x:c r="E120" s="213"/>
      <x:c r="F120" s="388" t="str">
        <x:f>IF($E120="","",IF($E120="2추","직접입력","-"))</x:f>
        <x:v/>
      </x:c>
      <x:c r="G120" s="388" t="str">
        <x:f>IF($E120="","",IF($E120="2추","직접입력","-"))</x:f>
        <x:v/>
      </x:c>
      <x:c r="H120" s="213"/>
      <x:c r="I120" s="156" t="str">
        <x:f>IF(H120="","",VLOOKUP($H120,구분표!$K$3:$M$147,2,FALSE))</x:f>
        <x:v/>
      </x:c>
      <x:c r="J120" s="156" t="str">
        <x:f>IF(I120="","",VLOOKUP($H120,구분표!$K$3:$M$147,3,FALSE))</x:f>
        <x:v/>
      </x:c>
      <x:c r="K120" s="233"/>
      <x:c r="L120" s="233"/>
      <x:c r="M120" s="459" t="str">
        <x:f>IF($E120="","",IF(OR($E120="2추",$E120="1추",$E120="본예산"),"금액입력","-"))</x:f>
        <x:v/>
      </x:c>
      <x:c r="N120" s="459" t="str">
        <x:f>IF($E120="","",IF($E120="2추","금액입력","-"))</x:f>
        <x:v/>
      </x:c>
      <x:c r="O120" s="461" t="str">
        <x:f t="shared" ref="O120:O122" si="561">IF($E120="","",SUM(M120:N120))</x:f>
        <x:v/>
      </x:c>
      <x:c r="P120" s="460"/>
      <x:c r="Q120" s="461">
        <x:f t="shared" ref="Q120:Q122" si="562">SUM(O120:P120)</x:f>
        <x:v>0</x:v>
      </x:c>
      <x:c r="R120" s="462"/>
      <x:c r="S120" s="463">
        <x:f t="shared" ref="S120:S122" si="563">SUM(O120,R120)</x:f>
        <x:v>0</x:v>
      </x:c>
      <x:c r="T120" s="162" t="str">
        <x:f t="shared" ref="T120:T122" si="564">IF(AND((Q120=0),(S120&gt;0)),"O",IF(AND((P120&lt;0),(Q120-S120&lt;0)),"O","X"))</x:f>
        <x:v>X</x:v>
      </x:c>
      <x:c r="U120" s="230"/>
      <x:c r="V120" s="224"/>
      <x:c r="W120" s="217"/>
      <x:c r="X120" s="234"/>
      <x:c r="Y120" s="217"/>
      <x:c r="Z120" s="356" t="str">
        <x:f t="shared" ref="Z120:Z122" si="565">IF($K120="","",IF(COUNT(FIND("국비/",$K120)),"국도비",IF(COUNT(FIND("균특/",$K120)),"국도비",IF(COUNT(FIND("기금/",$K120)),"국도비",IF(COUNT(FIND("교부세/",$K120)),"국도비",IF(COUNT(FIND("소방안전/",$K120)),"국도비",IF(COUNT(FIND("소멸대응/",$K120)),"국도비","도비")))))))</x:f>
        <x:v/>
      </x:c>
      <x:c r="AA120" s="61"/>
      <x:c r="AB120" s="486" t="str">
        <x:f t="shared" ref="AB120:AB122" si="566">IF($Z120="","",IF($Z120="국도비","금액입력",0))</x:f>
        <x:v/>
      </x:c>
      <x:c r="AC120" s="487">
        <x:f t="shared" ref="AC120:AC122" si="567">IFERROR(P120-AB120,0)</x:f>
        <x:v>0</x:v>
      </x:c>
      <x:c r="AD120" s="356" t="str">
        <x:f t="shared" ref="AD120:AD122" si="568">IF($P120=SUM($AB120:$AC120),"OK","@@")</x:f>
        <x:v>OK</x:v>
      </x:c>
      <x:c r="AE120" s="8"/>
      <x:c r="AF120" s="502" t="str">
        <x:f t="shared" ref="AF120:AF122" si="569">IF($Z120="","",IF($Z120="국도비","금액입력",0))</x:f>
        <x:v/>
      </x:c>
      <x:c r="AG120" s="503">
        <x:f t="shared" ref="AG120:AG122" si="570">IFERROR(R120-AF120,0)</x:f>
        <x:v>0</x:v>
      </x:c>
      <x:c r="AH120" s="381" t="str">
        <x:f t="shared" ref="AH120:AH122" si="571">IF($R120=SUM($AF120:$AG120),"OK","@@")</x:f>
        <x:v>OK</x:v>
      </x:c>
      <x:c r="AI120" s="8"/>
      <x:c r="AJ120" s="221" t="str">
        <x:f t="shared" ref="AJ120:AJ122" si="572">IF($Z120="","",IF($Z120="도비","-","세입번호입력"))</x:f>
        <x:v/>
      </x:c>
      <x:c r="AK120" s="356" t="str">
        <x:f t="shared" ref="AK120:AK122" si="573">IF(OR(AJ120="",AJ120="-",AJ120="세입번호입력"),"",COUNTIF($AJ$7:$AJ$1013,AJ120))</x:f>
        <x:v/>
      </x:c>
      <x:c r="AL120" s="356" t="str">
        <x:f t="shared" ref="AL120:AL122" si="574">IF($AJ120="","",IF($Z120="도비","OK",IF(AND($Z120="국도비",$AJ120="세입없음"),"OK",IF(AND($Z120="국도비",$AJ120="세입번호입력"),"@@","OK"))))</x:f>
        <x:v/>
      </x:c>
      <x:c r="AM120" s="356" t="str">
        <x:f t="shared" ref="AM120:AM122" si="575">IF($K120="","",IF(COUNT(FIND("국비/",$K120)),"국비",IF(COUNT(FIND("균특/",$K120)),"균특",IF(COUNT(FIND("기금/",$K120)),"기금",IF(COUNT(FIND("교부세/",$K120)),"특교",IF(COUNT(FIND("소방안전/",$K120)),"소교",IF(COUNT(FIND("소멸대응/",$K120)),"소멸","도비")))))))</x:f>
        <x:v/>
      </x:c>
      <x:c r="AN120" s="356" t="str">
        <x:f>IF($AM120="","",IF($AM120="도비","OK",IF($AJ120="세입없음","OK",IF($AJ120="세입번호입력","@@",IF(VLOOKUP($AJ120,'5. 기입'!$AH$6:$AI$1012,2,FALSE)='5. 기출'!$AM120,"OK","@@")))))</x:f>
        <x:v/>
      </x:c>
    </x:row>
    <x:row r="121" spans="1:40" ht="79.5" customHeight="1">
      <x:c r="A121" s="155" t="str">
        <x:f>IF(D121="","",COUNTA($C$7:C121)-COUNTBLANK($C$7:C121)+29)</x:f>
        <x:v/>
      </x:c>
      <x:c r="B121" s="156" t="str">
        <x: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x:f>
        <x:v/>
      </x:c>
      <x:c r="C121" s="156" t="str">
        <x:f>IF(D121="","",IF(OR(D121="교육지원과",D121="총무과",D121="인사과"),"직접입력",VLOOKUP(D121,구분표!$A$3:$C$258,3,)))</x:f>
        <x:v/>
      </x:c>
      <x:c r="D121" s="226"/>
      <x:c r="E121" s="213"/>
      <x:c r="F121" s="388" t="str">
        <x:f t="shared" ref="F121:G122" si="576">IF($E121="","",IF($E121="2추","직접입력","-"))</x:f>
        <x:v/>
      </x:c>
      <x:c r="G121" s="388" t="str">
        <x:f t="shared" si="576"/>
        <x:v/>
      </x:c>
      <x:c r="H121" s="213"/>
      <x:c r="I121" s="156" t="str">
        <x:f>IF(H121="","",VLOOKUP($H121,구분표!$K$3:$M$147,2,FALSE))</x:f>
        <x:v/>
      </x:c>
      <x:c r="J121" s="156" t="str">
        <x:f>IF(I121="","",VLOOKUP($H121,구분표!$K$3:$M$147,3,FALSE))</x:f>
        <x:v/>
      </x:c>
      <x:c r="K121" s="233"/>
      <x:c r="L121" s="233"/>
      <x:c r="M121" s="459" t="str">
        <x:f t="shared" ref="M121:M122" si="577">IF($E121="","",IF(OR($E121="2추",$E121="1추",$E121="본예산"),"금액입력","-"))</x:f>
        <x:v/>
      </x:c>
      <x:c r="N121" s="459" t="str">
        <x:f t="shared" ref="N121:N122" si="578">IF($E121="","",IF($E121="2추","금액입력","-"))</x:f>
        <x:v/>
      </x:c>
      <x:c r="O121" s="461" t="str">
        <x:f t="shared" si="561"/>
        <x:v/>
      </x:c>
      <x:c r="P121" s="460"/>
      <x:c r="Q121" s="461">
        <x:f t="shared" si="562"/>
        <x:v>0</x:v>
      </x:c>
      <x:c r="R121" s="462"/>
      <x:c r="S121" s="463">
        <x:f t="shared" si="563"/>
        <x:v>0</x:v>
      </x:c>
      <x:c r="T121" s="162" t="str">
        <x:f t="shared" si="564"/>
        <x:v>X</x:v>
      </x:c>
      <x:c r="U121" s="230"/>
      <x:c r="V121" s="224"/>
      <x:c r="W121" s="217"/>
      <x:c r="X121" s="234"/>
      <x:c r="Y121" s="217"/>
      <x:c r="Z121" s="356" t="str">
        <x:f t="shared" si="565"/>
        <x:v/>
      </x:c>
      <x:c r="AA121" s="61"/>
      <x:c r="AB121" s="486" t="str">
        <x:f t="shared" si="566"/>
        <x:v/>
      </x:c>
      <x:c r="AC121" s="487">
        <x:f t="shared" si="567"/>
        <x:v>0</x:v>
      </x:c>
      <x:c r="AD121" s="356" t="str">
        <x:f t="shared" si="568"/>
        <x:v>OK</x:v>
      </x:c>
      <x:c r="AE121" s="8"/>
      <x:c r="AF121" s="502" t="str">
        <x:f t="shared" si="569"/>
        <x:v/>
      </x:c>
      <x:c r="AG121" s="503">
        <x:f t="shared" si="570"/>
        <x:v>0</x:v>
      </x:c>
      <x:c r="AH121" s="381" t="str">
        <x:f t="shared" si="571"/>
        <x:v>OK</x:v>
      </x:c>
      <x:c r="AI121" s="8"/>
      <x:c r="AJ121" s="221" t="str">
        <x:f t="shared" si="572"/>
        <x:v/>
      </x:c>
      <x:c r="AK121" s="356" t="str">
        <x:f t="shared" si="573"/>
        <x:v/>
      </x:c>
      <x:c r="AL121" s="356" t="str">
        <x:f t="shared" si="574"/>
        <x:v/>
      </x:c>
      <x:c r="AM121" s="356" t="str">
        <x:f t="shared" si="575"/>
        <x:v/>
      </x:c>
      <x:c r="AN121" s="356" t="str">
        <x:f>IF($AM121="","",IF($AM121="도비","OK",IF($AJ121="세입없음","OK",IF($AJ121="세입번호입력","@@",IF(VLOOKUP($AJ121,'5. 기입'!$AH$6:$AI$1012,2,FALSE)='5. 기출'!$AM121,"OK","@@")))))</x:f>
        <x:v/>
      </x:c>
    </x:row>
    <x:row r="122" spans="1:40" ht="79.5" customHeight="1">
      <x:c r="A122" s="155" t="str">
        <x:f>IF(D122="","",COUNTA($C$7:C122)-COUNTBLANK($C$7:C122)+29)</x:f>
        <x:v/>
      </x:c>
      <x:c r="B122" s="156" t="str">
        <x: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x:f>
        <x:v/>
      </x:c>
      <x:c r="C122" s="156" t="str">
        <x:f>IF(D122="","",IF(OR(D122="교육지원과",D122="총무과",D122="인사과"),"직접입력",VLOOKUP(D122,구분표!$A$3:$C$258,3,)))</x:f>
        <x:v/>
      </x:c>
      <x:c r="D122" s="226"/>
      <x:c r="E122" s="213"/>
      <x:c r="F122" s="388" t="str">
        <x:f t="shared" si="576"/>
        <x:v/>
      </x:c>
      <x:c r="G122" s="388" t="str">
        <x:f t="shared" si="576"/>
        <x:v/>
      </x:c>
      <x:c r="H122" s="213"/>
      <x:c r="I122" s="156" t="str">
        <x:f>IF(H122="","",VLOOKUP($H122,구분표!$K$3:$M$147,2,FALSE))</x:f>
        <x:v/>
      </x:c>
      <x:c r="J122" s="156" t="str">
        <x:f>IF(I122="","",VLOOKUP($H122,구분표!$K$3:$M$147,3,FALSE))</x:f>
        <x:v/>
      </x:c>
      <x:c r="K122" s="233"/>
      <x:c r="L122" s="233"/>
      <x:c r="M122" s="459" t="str">
        <x:f t="shared" si="577"/>
        <x:v/>
      </x:c>
      <x:c r="N122" s="459" t="str">
        <x:f t="shared" si="578"/>
        <x:v/>
      </x:c>
      <x:c r="O122" s="461" t="str">
        <x:f t="shared" si="561"/>
        <x:v/>
      </x:c>
      <x:c r="P122" s="460"/>
      <x:c r="Q122" s="461">
        <x:f t="shared" si="562"/>
        <x:v>0</x:v>
      </x:c>
      <x:c r="R122" s="462"/>
      <x:c r="S122" s="463">
        <x:f t="shared" si="563"/>
        <x:v>0</x:v>
      </x:c>
      <x:c r="T122" s="162" t="str">
        <x:f t="shared" si="564"/>
        <x:v>X</x:v>
      </x:c>
      <x:c r="U122" s="230"/>
      <x:c r="V122" s="224"/>
      <x:c r="W122" s="217"/>
      <x:c r="X122" s="234"/>
      <x:c r="Y122" s="217"/>
      <x:c r="Z122" s="356" t="str">
        <x:f t="shared" si="565"/>
        <x:v/>
      </x:c>
      <x:c r="AA122" s="61"/>
      <x:c r="AB122" s="486" t="str">
        <x:f t="shared" si="566"/>
        <x:v/>
      </x:c>
      <x:c r="AC122" s="487">
        <x:f t="shared" si="567"/>
        <x:v>0</x:v>
      </x:c>
      <x:c r="AD122" s="356" t="str">
        <x:f t="shared" si="568"/>
        <x:v>OK</x:v>
      </x:c>
      <x:c r="AE122" s="8"/>
      <x:c r="AF122" s="502" t="str">
        <x:f t="shared" si="569"/>
        <x:v/>
      </x:c>
      <x:c r="AG122" s="503">
        <x:f t="shared" si="570"/>
        <x:v>0</x:v>
      </x:c>
      <x:c r="AH122" s="381" t="str">
        <x:f t="shared" si="571"/>
        <x:v>OK</x:v>
      </x:c>
      <x:c r="AI122" s="8"/>
      <x:c r="AJ122" s="221" t="str">
        <x:f t="shared" si="572"/>
        <x:v/>
      </x:c>
      <x:c r="AK122" s="356" t="str">
        <x:f t="shared" si="573"/>
        <x:v/>
      </x:c>
      <x:c r="AL122" s="356" t="str">
        <x:f t="shared" si="574"/>
        <x:v/>
      </x:c>
      <x:c r="AM122" s="356" t="str">
        <x:f t="shared" si="575"/>
        <x:v/>
      </x:c>
      <x:c r="AN122" s="356" t="str">
        <x:f>IF($AM122="","",IF($AM122="도비","OK",IF($AJ122="세입없음","OK",IF($AJ122="세입번호입력","@@",IF(VLOOKUP($AJ122,'5. 기입'!$AH$6:$AI$1012,2,FALSE)='5. 기출'!$AM122,"OK","@@")))))</x:f>
        <x:v/>
      </x:c>
    </x:row>
    <x:row r="123" spans="1:40" ht="60.75" customHeight="1">
      <x:c r="A123" s="167"/>
      <x:c r="B123" s="888" t="s">
        <x:v>1293</x:v>
      </x:c>
      <x:c r="C123" s="888"/>
      <x:c r="D123" s="888"/>
      <x:c r="E123" s="888"/>
      <x:c r="F123" s="888"/>
      <x:c r="G123" s="888"/>
      <x:c r="H123" s="888"/>
      <x:c r="I123" s="888"/>
      <x:c r="J123" s="888"/>
      <x:c r="K123" s="83"/>
      <x:c r="L123" s="363" t="str">
        <x:f>SUBTOTAL(3,L124:L126)&amp;"건"</x:f>
        <x:v>0건</x:v>
      </x:c>
      <x:c r="M123" s="477">
        <x:f>SUBTOTAL(9,M124:M126)</x:f>
        <x:v>0</x:v>
      </x:c>
      <x:c r="N123" s="477">
        <x:f t="shared" ref="N123:S123" si="579">SUBTOTAL(9,N124:N126)</x:f>
        <x:v>0</x:v>
      </x:c>
      <x:c r="O123" s="477">
        <x:f t="shared" si="579"/>
        <x:v>0</x:v>
      </x:c>
      <x:c r="P123" s="477">
        <x:f t="shared" si="579"/>
        <x:v>0</x:v>
      </x:c>
      <x:c r="Q123" s="477">
        <x:f t="shared" si="579"/>
        <x:v>0</x:v>
      </x:c>
      <x:c r="R123" s="477">
        <x:f t="shared" si="579"/>
        <x:v>0</x:v>
      </x:c>
      <x:c r="S123" s="477">
        <x:f t="shared" si="579"/>
        <x:v>0</x:v>
      </x:c>
      <x:c r="T123" s="82"/>
      <x:c r="U123" s="84"/>
      <x:c r="V123" s="84"/>
      <x:c r="W123" s="85"/>
      <x:c r="Y123" s="86"/>
      <x:c r="Z123" s="82"/>
      <x:c r="AA123" s="44"/>
      <x:c r="AB123" s="477">
        <x:f t="shared" ref="AB123:AC123" si="580">SUBTOTAL(9,AB124:AB126)</x:f>
        <x:v>0</x:v>
      </x:c>
      <x:c r="AC123" s="477">
        <x:f t="shared" si="580"/>
        <x:v>0</x:v>
      </x:c>
      <x:c r="AD123" s="556" t="str">
        <x:f>IF(COUNTIF(AD124:AD126,"@@")&gt;0,"@@","OK")</x:f>
        <x:v>OK</x:v>
      </x:c>
      <x:c r="AE123" s="53"/>
      <x:c r="AF123" s="477">
        <x:f t="shared" ref="AF123:AG123" si="581">SUBTOTAL(9,AF124:AF126)</x:f>
        <x:v>0</x:v>
      </x:c>
      <x:c r="AG123" s="477">
        <x:f t="shared" si="581"/>
        <x:v>0</x:v>
      </x:c>
      <x:c r="AH123" s="556" t="str">
        <x:f>IF(COUNTIF(AH124:AH126,"@@")&gt;0,"@@","OK")</x:f>
        <x:v>OK</x:v>
      </x:c>
      <x:c r="AI123" s="44"/>
      <x:c r="AJ123" s="81"/>
      <x:c r="AK123" s="81"/>
      <x:c r="AL123" s="556" t="str">
        <x:f>IF(COUNTIF(AL124:AL126,"@@")&gt;0,"@@","OK")</x:f>
        <x:v>OK</x:v>
      </x:c>
      <x:c r="AM123" s="81"/>
      <x:c r="AN123" s="556" t="str">
        <x:f>IF(COUNTIF(AN124:AN126,"@@")&gt;0,"@@","OK")</x:f>
        <x:v>OK</x:v>
      </x:c>
    </x:row>
    <x:row r="124" spans="1:40" ht="79.5" customHeight="1">
      <x:c r="A124" s="155" t="str">
        <x:f>IF(D124="","",COUNTA($C$7:C124)-COUNTBLANK($C$7:C124)+30)</x:f>
        <x:v/>
      </x:c>
      <x:c r="B124" s="156" t="str">
        <x: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x:f>
        <x:v/>
      </x:c>
      <x:c r="C124" s="156" t="str">
        <x:f>IF(D124="","",IF(OR(D124="교육지원과",D124="총무과",D124="인사과"),"직접입력",VLOOKUP(D124,구분표!$A$3:$C$258,3,)))</x:f>
        <x:v/>
      </x:c>
      <x:c r="D124" s="226"/>
      <x:c r="E124" s="213"/>
      <x:c r="F124" s="388" t="str">
        <x:f>IF($E124="","",IF($E124="2추","직접입력","-"))</x:f>
        <x:v/>
      </x:c>
      <x:c r="G124" s="388" t="str">
        <x:f>IF($E124="","",IF($E124="2추","직접입력","-"))</x:f>
        <x:v/>
      </x:c>
      <x:c r="H124" s="213"/>
      <x:c r="I124" s="156" t="str">
        <x:f>IF(H124="","",VLOOKUP($H124,구분표!$K$3:$M$147,2,FALSE))</x:f>
        <x:v/>
      </x:c>
      <x:c r="J124" s="156" t="str">
        <x:f>IF(I124="","",VLOOKUP($H124,구분표!$K$3:$M$147,3,FALSE))</x:f>
        <x:v/>
      </x:c>
      <x:c r="K124" s="233"/>
      <x:c r="L124" s="233"/>
      <x:c r="M124" s="459" t="str">
        <x:f>IF($E124="","",IF(OR($E124="2추",$E124="1추",$E124="본예산"),"금액입력","-"))</x:f>
        <x:v/>
      </x:c>
      <x:c r="N124" s="459" t="str">
        <x:f>IF($E124="","",IF($E124="2추","금액입력","-"))</x:f>
        <x:v/>
      </x:c>
      <x:c r="O124" s="461" t="str">
        <x:f t="shared" ref="O124:O126" si="582">IF($E124="","",SUM(M124:N124))</x:f>
        <x:v/>
      </x:c>
      <x:c r="P124" s="460"/>
      <x:c r="Q124" s="461">
        <x:f t="shared" ref="Q124:Q126" si="583">SUM(O124:P124)</x:f>
        <x:v>0</x:v>
      </x:c>
      <x:c r="R124" s="462"/>
      <x:c r="S124" s="463">
        <x:f t="shared" ref="S124:S126" si="584">SUM(O124,R124)</x:f>
        <x:v>0</x:v>
      </x:c>
      <x:c r="T124" s="162" t="str">
        <x:f t="shared" ref="T124:T126" si="585">IF(AND((Q124=0),(S124&gt;0)),"O",IF(AND((P124&lt;0),(Q124-S124&lt;0)),"O","X"))</x:f>
        <x:v>X</x:v>
      </x:c>
      <x:c r="U124" s="230"/>
      <x:c r="V124" s="224"/>
      <x:c r="W124" s="217"/>
      <x:c r="X124" s="234"/>
      <x:c r="Y124" s="217"/>
      <x:c r="Z124" s="356" t="str">
        <x:f t="shared" ref="Z124:Z126" si="586">IF($K124="","",IF(COUNT(FIND("국비/",$K124)),"국도비",IF(COUNT(FIND("균특/",$K124)),"국도비",IF(COUNT(FIND("기금/",$K124)),"국도비",IF(COUNT(FIND("교부세/",$K124)),"국도비",IF(COUNT(FIND("소방안전/",$K124)),"국도비",IF(COUNT(FIND("소멸대응/",$K124)),"국도비","도비")))))))</x:f>
        <x:v/>
      </x:c>
      <x:c r="AA124" s="61"/>
      <x:c r="AB124" s="486" t="str">
        <x:f t="shared" ref="AB124:AB126" si="587">IF($Z124="","",IF($Z124="국도비","금액입력",0))</x:f>
        <x:v/>
      </x:c>
      <x:c r="AC124" s="487">
        <x:f t="shared" ref="AC124:AC126" si="588">IFERROR(P124-AB124,0)</x:f>
        <x:v>0</x:v>
      </x:c>
      <x:c r="AD124" s="356" t="str">
        <x:f t="shared" ref="AD124:AD126" si="589">IF($P124=SUM($AB124:$AC124),"OK","@@")</x:f>
        <x:v>OK</x:v>
      </x:c>
      <x:c r="AE124" s="8"/>
      <x:c r="AF124" s="502" t="str">
        <x:f t="shared" ref="AF124:AF126" si="590">IF($Z124="","",IF($Z124="국도비","금액입력",0))</x:f>
        <x:v/>
      </x:c>
      <x:c r="AG124" s="503">
        <x:f t="shared" ref="AG124:AG126" si="591">IFERROR(R124-AF124,0)</x:f>
        <x:v>0</x:v>
      </x:c>
      <x:c r="AH124" s="381" t="str">
        <x:f t="shared" ref="AH124:AH126" si="592">IF($R124=SUM($AF124:$AG124),"OK","@@")</x:f>
        <x:v>OK</x:v>
      </x:c>
      <x:c r="AI124" s="8"/>
      <x:c r="AJ124" s="221" t="str">
        <x:f t="shared" ref="AJ124:AJ126" si="593">IF($Z124="","",IF($Z124="도비","-","세입번호입력"))</x:f>
        <x:v/>
      </x:c>
      <x:c r="AK124" s="356" t="str">
        <x:f t="shared" ref="AK124:AK126" si="594">IF(OR(AJ124="",AJ124="-",AJ124="세입번호입력"),"",COUNTIF($AJ$7:$AJ$1013,AJ124))</x:f>
        <x:v/>
      </x:c>
      <x:c r="AL124" s="356" t="str">
        <x:f t="shared" ref="AL124:AL126" si="595">IF($AJ124="","",IF($Z124="도비","OK",IF(AND($Z124="국도비",$AJ124="세입없음"),"OK",IF(AND($Z124="국도비",$AJ124="세입번호입력"),"@@","OK"))))</x:f>
        <x:v/>
      </x:c>
      <x:c r="AM124" s="356" t="str">
        <x:f t="shared" ref="AM124:AM126" si="596">IF($K124="","",IF(COUNT(FIND("국비/",$K124)),"국비",IF(COUNT(FIND("균특/",$K124)),"균특",IF(COUNT(FIND("기금/",$K124)),"기금",IF(COUNT(FIND("교부세/",$K124)),"특교",IF(COUNT(FIND("소방안전/",$K124)),"소교",IF(COUNT(FIND("소멸대응/",$K124)),"소멸","도비")))))))</x:f>
        <x:v/>
      </x:c>
      <x:c r="AN124" s="356" t="str">
        <x:f>IF($AM124="","",IF($AM124="도비","OK",IF($AJ124="세입없음","OK",IF($AJ124="세입번호입력","@@",IF(VLOOKUP($AJ124,'5. 기입'!$AH$6:$AI$1012,2,FALSE)='5. 기출'!$AM124,"OK","@@")))))</x:f>
        <x:v/>
      </x:c>
    </x:row>
    <x:row r="125" spans="1:40" ht="79.5" customHeight="1">
      <x:c r="A125" s="155" t="str">
        <x:f>IF(D125="","",COUNTA($C$7:C125)-COUNTBLANK($C$7:C125)+30)</x:f>
        <x:v/>
      </x:c>
      <x:c r="B125" s="156" t="str">
        <x: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x:f>
        <x:v/>
      </x:c>
      <x:c r="C125" s="156" t="str">
        <x:f>IF(D125="","",IF(OR(D125="교육지원과",D125="총무과",D125="인사과"),"직접입력",VLOOKUP(D125,구분표!$A$3:$C$258,3,)))</x:f>
        <x:v/>
      </x:c>
      <x:c r="D125" s="226"/>
      <x:c r="E125" s="213"/>
      <x:c r="F125" s="388" t="str">
        <x:f t="shared" ref="F125:G126" si="597">IF($E125="","",IF($E125="2추","직접입력","-"))</x:f>
        <x:v/>
      </x:c>
      <x:c r="G125" s="388" t="str">
        <x:f t="shared" si="597"/>
        <x:v/>
      </x:c>
      <x:c r="H125" s="213"/>
      <x:c r="I125" s="156" t="str">
        <x:f>IF(H125="","",VLOOKUP($H125,구분표!$K$3:$M$147,2,FALSE))</x:f>
        <x:v/>
      </x:c>
      <x:c r="J125" s="156" t="str">
        <x:f>IF(I125="","",VLOOKUP($H125,구분표!$K$3:$M$147,3,FALSE))</x:f>
        <x:v/>
      </x:c>
      <x:c r="K125" s="233"/>
      <x:c r="L125" s="233"/>
      <x:c r="M125" s="459" t="str">
        <x:f t="shared" ref="M125:M126" si="598">IF($E125="","",IF(OR($E125="2추",$E125="1추",$E125="본예산"),"금액입력","-"))</x:f>
        <x:v/>
      </x:c>
      <x:c r="N125" s="459" t="str">
        <x:f t="shared" ref="N125:N126" si="599">IF($E125="","",IF($E125="2추","금액입력","-"))</x:f>
        <x:v/>
      </x:c>
      <x:c r="O125" s="461" t="str">
        <x:f t="shared" si="582"/>
        <x:v/>
      </x:c>
      <x:c r="P125" s="460"/>
      <x:c r="Q125" s="461">
        <x:f t="shared" si="583"/>
        <x:v>0</x:v>
      </x:c>
      <x:c r="R125" s="462"/>
      <x:c r="S125" s="463">
        <x:f t="shared" si="584"/>
        <x:v>0</x:v>
      </x:c>
      <x:c r="T125" s="162" t="str">
        <x:f t="shared" si="585"/>
        <x:v>X</x:v>
      </x:c>
      <x:c r="U125" s="230"/>
      <x:c r="V125" s="224"/>
      <x:c r="W125" s="217"/>
      <x:c r="X125" s="234"/>
      <x:c r="Y125" s="217"/>
      <x:c r="Z125" s="356" t="str">
        <x:f t="shared" si="586"/>
        <x:v/>
      </x:c>
      <x:c r="AA125" s="61"/>
      <x:c r="AB125" s="486" t="str">
        <x:f t="shared" si="587"/>
        <x:v/>
      </x:c>
      <x:c r="AC125" s="487">
        <x:f t="shared" si="588"/>
        <x:v>0</x:v>
      </x:c>
      <x:c r="AD125" s="356" t="str">
        <x:f t="shared" si="589"/>
        <x:v>OK</x:v>
      </x:c>
      <x:c r="AE125" s="8"/>
      <x:c r="AF125" s="502" t="str">
        <x:f t="shared" si="590"/>
        <x:v/>
      </x:c>
      <x:c r="AG125" s="503">
        <x:f t="shared" si="591"/>
        <x:v>0</x:v>
      </x:c>
      <x:c r="AH125" s="381" t="str">
        <x:f t="shared" si="592"/>
        <x:v>OK</x:v>
      </x:c>
      <x:c r="AI125" s="8"/>
      <x:c r="AJ125" s="221" t="str">
        <x:f t="shared" si="593"/>
        <x:v/>
      </x:c>
      <x:c r="AK125" s="356" t="str">
        <x:f t="shared" si="594"/>
        <x:v/>
      </x:c>
      <x:c r="AL125" s="356" t="str">
        <x:f t="shared" si="595"/>
        <x:v/>
      </x:c>
      <x:c r="AM125" s="356" t="str">
        <x:f t="shared" si="596"/>
        <x:v/>
      </x:c>
      <x:c r="AN125" s="356" t="str">
        <x:f>IF($AM125="","",IF($AM125="도비","OK",IF($AJ125="세입없음","OK",IF($AJ125="세입번호입력","@@",IF(VLOOKUP($AJ125,'5. 기입'!$AH$6:$AI$1012,2,FALSE)='5. 기출'!$AM125,"OK","@@")))))</x:f>
        <x:v/>
      </x:c>
    </x:row>
    <x:row r="126" spans="1:40" ht="79.5" customHeight="1">
      <x:c r="A126" s="155" t="str">
        <x:f>IF(D126="","",COUNTA($C$7:C126)-COUNTBLANK($C$7:C126)+30)</x:f>
        <x:v/>
      </x:c>
      <x:c r="B126" s="156" t="str">
        <x: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x:f>
        <x:v/>
      </x:c>
      <x:c r="C126" s="156" t="str">
        <x:f>IF(D126="","",IF(OR(D126="교육지원과",D126="총무과",D126="인사과"),"직접입력",VLOOKUP(D126,구분표!$A$3:$C$258,3,)))</x:f>
        <x:v/>
      </x:c>
      <x:c r="D126" s="226"/>
      <x:c r="E126" s="213"/>
      <x:c r="F126" s="388" t="str">
        <x:f t="shared" si="597"/>
        <x:v/>
      </x:c>
      <x:c r="G126" s="388" t="str">
        <x:f t="shared" si="597"/>
        <x:v/>
      </x:c>
      <x:c r="H126" s="213"/>
      <x:c r="I126" s="156" t="str">
        <x:f>IF(H126="","",VLOOKUP($H126,구분표!$K$3:$M$147,2,FALSE))</x:f>
        <x:v/>
      </x:c>
      <x:c r="J126" s="156" t="str">
        <x:f>IF(I126="","",VLOOKUP($H126,구분표!$K$3:$M$147,3,FALSE))</x:f>
        <x:v/>
      </x:c>
      <x:c r="K126" s="233"/>
      <x:c r="L126" s="233"/>
      <x:c r="M126" s="459" t="str">
        <x:f t="shared" si="598"/>
        <x:v/>
      </x:c>
      <x:c r="N126" s="459" t="str">
        <x:f t="shared" si="599"/>
        <x:v/>
      </x:c>
      <x:c r="O126" s="461" t="str">
        <x:f t="shared" si="582"/>
        <x:v/>
      </x:c>
      <x:c r="P126" s="460"/>
      <x:c r="Q126" s="461">
        <x:f t="shared" si="583"/>
        <x:v>0</x:v>
      </x:c>
      <x:c r="R126" s="462"/>
      <x:c r="S126" s="463">
        <x:f t="shared" si="584"/>
        <x:v>0</x:v>
      </x:c>
      <x:c r="T126" s="162" t="str">
        <x:f t="shared" si="585"/>
        <x:v>X</x:v>
      </x:c>
      <x:c r="U126" s="230"/>
      <x:c r="V126" s="224"/>
      <x:c r="W126" s="217"/>
      <x:c r="X126" s="234"/>
      <x:c r="Y126" s="217"/>
      <x:c r="Z126" s="356" t="str">
        <x:f t="shared" si="586"/>
        <x:v/>
      </x:c>
      <x:c r="AA126" s="61"/>
      <x:c r="AB126" s="486" t="str">
        <x:f t="shared" si="587"/>
        <x:v/>
      </x:c>
      <x:c r="AC126" s="487">
        <x:f t="shared" si="588"/>
        <x:v>0</x:v>
      </x:c>
      <x:c r="AD126" s="356" t="str">
        <x:f t="shared" si="589"/>
        <x:v>OK</x:v>
      </x:c>
      <x:c r="AE126" s="8"/>
      <x:c r="AF126" s="502" t="str">
        <x:f t="shared" si="590"/>
        <x:v/>
      </x:c>
      <x:c r="AG126" s="503">
        <x:f t="shared" si="591"/>
        <x:v>0</x:v>
      </x:c>
      <x:c r="AH126" s="381" t="str">
        <x:f t="shared" si="592"/>
        <x:v>OK</x:v>
      </x:c>
      <x:c r="AI126" s="8"/>
      <x:c r="AJ126" s="221" t="str">
        <x:f t="shared" si="593"/>
        <x:v/>
      </x:c>
      <x:c r="AK126" s="356" t="str">
        <x:f t="shared" si="594"/>
        <x:v/>
      </x:c>
      <x:c r="AL126" s="356" t="str">
        <x:f t="shared" si="595"/>
        <x:v/>
      </x:c>
      <x:c r="AM126" s="356" t="str">
        <x:f t="shared" si="596"/>
        <x:v/>
      </x:c>
      <x:c r="AN126" s="356" t="str">
        <x:f>IF($AM126="","",IF($AM126="도비","OK",IF($AJ126="세입없음","OK",IF($AJ126="세입번호입력","@@",IF(VLOOKUP($AJ126,'5. 기입'!$AH$6:$AI$1012,2,FALSE)='5. 기출'!$AM126,"OK","@@")))))</x:f>
        <x:v/>
      </x:c>
    </x:row>
    <x:row r="127" spans="1:40" customHeight="1">
      <x:c r="A127" s="36"/>
      <x:c r="B127" s="59"/>
      <x:c r="C127" s="59"/>
      <x:c r="D127" s="59"/>
      <x:c r="E127" s="59"/>
      <x:c r="F127" s="37"/>
      <x:c r="G127" s="36"/>
      <x:c r="H127" s="37"/>
      <x:c r="I127" s="37"/>
      <x:c r="J127" s="37"/>
      <x:c r="K127" s="452"/>
      <x:c r="L127" s="452"/>
      <x:c r="M127" s="452"/>
      <x:c r="N127" s="452"/>
      <x:c r="P127" s="498"/>
      <x:c r="Q127" s="498"/>
      <x:c r="R127" s="499"/>
      <x:c r="S127" s="500"/>
      <x:c r="T127" s="37"/>
      <x:c r="U127" s="60"/>
      <x:c r="V127" s="41"/>
      <x:c r="W127" s="42"/>
      <x:c r="Y127" s="40"/>
      <x:c r="Z127" s="37"/>
      <x:c r="AA127" s="44"/>
      <x:c r="AB127" s="498"/>
      <x:c r="AC127" s="498"/>
      <x:c r="AD127" s="37"/>
      <x:c r="AE127" s="37"/>
      <x:c r="AF127" s="504"/>
      <x:c r="AG127" s="504"/>
      <x:c r="AH127" s="70"/>
      <x:c r="AI127" s="37"/>
      <x:c r="AJ127" s="37"/>
      <x:c r="AK127" s="37"/>
      <x:c r="AL127" s="37"/>
      <x:c r="AM127" s="37"/>
      <x:c r="AN127" s="37"/>
    </x:row>
    <x:row r="128" spans="1:40" customHeight="1">
      <x:c r="A128" s="36"/>
      <x:c r="B128" s="59"/>
      <x:c r="C128" s="59"/>
      <x:c r="D128" s="59"/>
      <x:c r="E128" s="59"/>
      <x:c r="F128" s="37"/>
      <x:c r="G128" s="36"/>
      <x:c r="H128" s="37"/>
      <x:c r="I128" s="37"/>
      <x:c r="J128" s="37"/>
      <x:c r="K128" s="452"/>
      <x:c r="L128" s="452"/>
      <x:c r="M128" s="452"/>
      <x:c r="N128" s="452"/>
      <x:c r="P128" s="498"/>
      <x:c r="Q128" s="498"/>
      <x:c r="R128" s="498"/>
      <x:c r="S128" s="500"/>
      <x:c r="T128" s="37"/>
      <x:c r="U128" s="60"/>
      <x:c r="V128" s="41"/>
      <x:c r="W128" s="42"/>
      <x:c r="Y128" s="40"/>
      <x:c r="Z128" s="37"/>
      <x:c r="AA128" s="44"/>
      <x:c r="AB128" s="498"/>
      <x:c r="AC128" s="498"/>
      <x:c r="AD128" s="37"/>
      <x:c r="AE128" s="37"/>
      <x:c r="AF128" s="504"/>
      <x:c r="AG128" s="504"/>
      <x:c r="AH128" s="70"/>
      <x:c r="AI128" s="37"/>
      <x:c r="AJ128" s="37"/>
      <x:c r="AK128" s="37"/>
      <x:c r="AL128" s="37"/>
      <x:c r="AM128" s="37"/>
      <x:c r="AN128" s="37"/>
    </x:row>
    <x:row r="129" spans="1:40" customHeight="1">
      <x:c r="A129" s="36"/>
      <x:c r="B129" s="59"/>
      <x:c r="C129" s="59"/>
      <x:c r="D129" s="59"/>
      <x:c r="E129" s="59"/>
      <x:c r="F129" s="37"/>
      <x:c r="G129" s="36"/>
      <x:c r="H129" s="37"/>
      <x:c r="I129" s="37"/>
      <x:c r="J129" s="37"/>
      <x:c r="K129" s="452"/>
      <x:c r="L129" s="452"/>
      <x:c r="M129" s="452"/>
      <x:c r="N129" s="452"/>
      <x:c r="P129" s="498"/>
      <x:c r="Q129" s="498"/>
      <x:c r="R129" s="498"/>
      <x:c r="S129" s="500"/>
      <x:c r="T129" s="37"/>
      <x:c r="U129" s="60"/>
      <x:c r="V129" s="41"/>
      <x:c r="W129" s="42"/>
      <x:c r="Y129" s="40"/>
      <x:c r="Z129" s="37"/>
      <x:c r="AA129" s="44"/>
      <x:c r="AB129" s="498"/>
      <x:c r="AC129" s="498"/>
      <x:c r="AD129" s="37"/>
      <x:c r="AE129" s="37"/>
      <x:c r="AF129" s="504"/>
      <x:c r="AG129" s="504"/>
      <x:c r="AH129" s="70"/>
      <x:c r="AI129" s="37"/>
      <x:c r="AJ129" s="37"/>
      <x:c r="AK129" s="37"/>
      <x:c r="AL129" s="37"/>
      <x:c r="AM129" s="37"/>
      <x:c r="AN129" s="37"/>
    </x:row>
    <x:row r="130" spans="1:40" customHeight="1">
      <x:c r="A130" s="36"/>
      <x:c r="B130" s="59"/>
      <x:c r="C130" s="59"/>
      <x:c r="D130" s="59"/>
      <x:c r="E130" s="59"/>
      <x:c r="F130" s="37"/>
      <x:c r="G130" s="36"/>
      <x:c r="H130" s="37"/>
      <x:c r="I130" s="37"/>
      <x:c r="J130" s="37"/>
      <x:c r="K130" s="452"/>
      <x:c r="L130" s="452"/>
      <x:c r="M130" s="452"/>
      <x:c r="N130" s="452"/>
      <x:c r="P130" s="498"/>
      <x:c r="Q130" s="498"/>
      <x:c r="R130" s="498"/>
      <x:c r="S130" s="500"/>
      <x:c r="T130" s="37"/>
      <x:c r="U130" s="60"/>
      <x:c r="V130" s="41"/>
      <x:c r="W130" s="42"/>
      <x:c r="Y130" s="40"/>
      <x:c r="Z130" s="37"/>
      <x:c r="AA130" s="44"/>
      <x:c r="AB130" s="498"/>
      <x:c r="AC130" s="498"/>
      <x:c r="AD130" s="37"/>
      <x:c r="AE130" s="37"/>
      <x:c r="AF130" s="504"/>
      <x:c r="AG130" s="504"/>
      <x:c r="AH130" s="70"/>
      <x:c r="AI130" s="37"/>
      <x:c r="AJ130" s="37"/>
      <x:c r="AK130" s="37"/>
      <x:c r="AL130" s="37"/>
      <x:c r="AM130" s="37"/>
      <x:c r="AN130" s="37"/>
    </x:row>
    <x:row r="131" spans="1:40" customHeight="1">
      <x:c r="A131" s="36"/>
      <x:c r="B131" s="59"/>
      <x:c r="C131" s="59"/>
      <x:c r="D131" s="59"/>
      <x:c r="E131" s="59"/>
      <x:c r="F131" s="37"/>
      <x:c r="G131" s="36"/>
      <x:c r="H131" s="37"/>
      <x:c r="I131" s="37"/>
      <x:c r="J131" s="37"/>
      <x:c r="K131" s="452"/>
      <x:c r="L131" s="452"/>
      <x:c r="M131" s="452"/>
      <x:c r="N131" s="452"/>
      <x:c r="P131" s="498"/>
      <x:c r="Q131" s="498"/>
      <x:c r="R131" s="498"/>
      <x:c r="S131" s="500"/>
      <x:c r="T131" s="37"/>
      <x:c r="U131" s="60"/>
      <x:c r="V131" s="41"/>
      <x:c r="W131" s="42"/>
      <x:c r="Y131" s="40"/>
      <x:c r="Z131" s="37"/>
      <x:c r="AA131" s="44"/>
      <x:c r="AB131" s="498"/>
      <x:c r="AC131" s="498"/>
      <x:c r="AD131" s="37"/>
      <x:c r="AE131" s="37"/>
      <x:c r="AF131" s="504"/>
      <x:c r="AG131" s="504"/>
      <x:c r="AH131" s="70"/>
      <x:c r="AI131" s="37"/>
      <x:c r="AJ131" s="37"/>
      <x:c r="AK131" s="37"/>
      <x:c r="AL131" s="37"/>
      <x:c r="AM131" s="37"/>
      <x:c r="AN131" s="37"/>
    </x:row>
    <x:row r="132" spans="1:40" customHeight="1">
      <x:c r="A132" s="36"/>
      <x:c r="B132" s="59"/>
      <x:c r="C132" s="59"/>
      <x:c r="D132" s="59"/>
      <x:c r="E132" s="59"/>
      <x:c r="F132" s="37"/>
      <x:c r="G132" s="36"/>
      <x:c r="H132" s="37"/>
      <x:c r="I132" s="37"/>
      <x:c r="J132" s="37"/>
      <x:c r="K132" s="452"/>
      <x:c r="L132" s="452"/>
      <x:c r="M132" s="452"/>
      <x:c r="N132" s="452"/>
      <x:c r="P132" s="498"/>
      <x:c r="Q132" s="498"/>
      <x:c r="R132" s="498"/>
      <x:c r="S132" s="500"/>
      <x:c r="T132" s="37"/>
      <x:c r="U132" s="60"/>
      <x:c r="V132" s="41"/>
      <x:c r="W132" s="42"/>
      <x:c r="Y132" s="40"/>
      <x:c r="Z132" s="37"/>
      <x:c r="AA132" s="44"/>
      <x:c r="AB132" s="498"/>
      <x:c r="AC132" s="498"/>
      <x:c r="AD132" s="37"/>
      <x:c r="AE132" s="37"/>
      <x:c r="AF132" s="504"/>
      <x:c r="AG132" s="504"/>
      <x:c r="AH132" s="70"/>
      <x:c r="AI132" s="37"/>
      <x:c r="AJ132" s="37"/>
      <x:c r="AK132" s="37"/>
      <x:c r="AL132" s="37"/>
      <x:c r="AM132" s="37"/>
      <x:c r="AN132" s="37"/>
    </x:row>
    <x:row r="133" spans="1:40" customHeight="1">
      <x:c r="A133" s="36"/>
      <x:c r="B133" s="59"/>
      <x:c r="C133" s="59"/>
      <x:c r="D133" s="59"/>
      <x:c r="E133" s="59"/>
      <x:c r="F133" s="37"/>
      <x:c r="G133" s="36"/>
      <x:c r="H133" s="37"/>
      <x:c r="I133" s="37"/>
      <x:c r="J133" s="37"/>
      <x:c r="K133" s="452"/>
      <x:c r="L133" s="452"/>
      <x:c r="M133" s="452"/>
      <x:c r="N133" s="452"/>
      <x:c r="P133" s="498"/>
      <x:c r="Q133" s="498"/>
      <x:c r="R133" s="498"/>
      <x:c r="S133" s="500"/>
      <x:c r="T133" s="37"/>
      <x:c r="U133" s="40"/>
      <x:c r="V133" s="41"/>
      <x:c r="W133" s="42"/>
      <x:c r="Y133" s="40"/>
      <x:c r="Z133" s="37"/>
      <x:c r="AA133" s="44"/>
      <x:c r="AB133" s="498"/>
      <x:c r="AC133" s="498"/>
      <x:c r="AD133" s="37"/>
      <x:c r="AE133" s="37"/>
      <x:c r="AF133" s="504"/>
      <x:c r="AG133" s="504"/>
      <x:c r="AH133" s="70"/>
      <x:c r="AI133" s="37"/>
      <x:c r="AJ133" s="37"/>
      <x:c r="AK133" s="37"/>
      <x:c r="AL133" s="37"/>
      <x:c r="AM133" s="37"/>
      <x:c r="AN133" s="37"/>
    </x:row>
    <x:row r="134" spans="1:40" customHeight="1">
      <x:c r="A134" s="36"/>
      <x:c r="B134" s="59"/>
      <x:c r="C134" s="59"/>
      <x:c r="D134" s="59"/>
      <x:c r="E134" s="59"/>
      <x:c r="F134" s="37"/>
      <x:c r="G134" s="36"/>
      <x:c r="H134" s="37"/>
      <x:c r="I134" s="37"/>
      <x:c r="J134" s="37"/>
      <x:c r="K134" s="452"/>
      <x:c r="L134" s="452"/>
      <x:c r="M134" s="452"/>
      <x:c r="N134" s="452"/>
      <x:c r="P134" s="498"/>
      <x:c r="Q134" s="498"/>
      <x:c r="R134" s="498"/>
      <x:c r="S134" s="500"/>
      <x:c r="T134" s="37"/>
      <x:c r="U134" s="40"/>
      <x:c r="V134" s="41"/>
      <x:c r="W134" s="42"/>
      <x:c r="Y134" s="40"/>
      <x:c r="Z134" s="37"/>
      <x:c r="AA134" s="44"/>
      <x:c r="AB134" s="498"/>
      <x:c r="AC134" s="498"/>
      <x:c r="AD134" s="37"/>
      <x:c r="AE134" s="37"/>
      <x:c r="AF134" s="504"/>
      <x:c r="AG134" s="504"/>
      <x:c r="AH134" s="70"/>
      <x:c r="AI134" s="37"/>
      <x:c r="AJ134" s="37"/>
      <x:c r="AK134" s="37"/>
      <x:c r="AL134" s="37"/>
      <x:c r="AM134" s="37"/>
      <x:c r="AN134" s="37"/>
    </x:row>
    <x:row r="135" spans="1:40" customHeight="1">
      <x:c r="A135" s="36"/>
      <x:c r="B135" s="59"/>
      <x:c r="C135" s="59"/>
      <x:c r="D135" s="59"/>
      <x:c r="E135" s="59"/>
      <x:c r="F135" s="37"/>
      <x:c r="G135" s="36"/>
      <x:c r="H135" s="37"/>
      <x:c r="I135" s="37"/>
      <x:c r="J135" s="37"/>
      <x:c r="K135" s="452"/>
      <x:c r="L135" s="452"/>
      <x:c r="M135" s="452"/>
      <x:c r="N135" s="452"/>
      <x:c r="P135" s="498"/>
      <x:c r="Q135" s="498"/>
      <x:c r="R135" s="498"/>
      <x:c r="S135" s="500"/>
      <x:c r="T135" s="37"/>
      <x:c r="U135" s="40"/>
      <x:c r="V135" s="41"/>
      <x:c r="W135" s="42"/>
      <x:c r="Y135" s="40"/>
      <x:c r="Z135" s="37"/>
      <x:c r="AA135" s="44"/>
      <x:c r="AB135" s="498"/>
      <x:c r="AC135" s="498"/>
      <x:c r="AD135" s="37"/>
      <x:c r="AE135" s="37"/>
      <x:c r="AF135" s="504"/>
      <x:c r="AG135" s="504"/>
      <x:c r="AH135" s="70"/>
      <x:c r="AI135" s="37"/>
      <x:c r="AJ135" s="37"/>
      <x:c r="AK135" s="37"/>
      <x:c r="AL135" s="37"/>
      <x:c r="AM135" s="37"/>
      <x:c r="AN135" s="37"/>
    </x:row>
    <x:row r="136" spans="1:40" customHeight="1">
      <x:c r="A136" s="36"/>
      <x:c r="B136" s="59"/>
      <x:c r="C136" s="59"/>
      <x:c r="D136" s="59"/>
      <x:c r="E136" s="59"/>
      <x:c r="F136" s="37"/>
      <x:c r="G136" s="36"/>
      <x:c r="H136" s="37"/>
      <x:c r="I136" s="37"/>
      <x:c r="J136" s="37"/>
      <x:c r="K136" s="452"/>
      <x:c r="L136" s="452"/>
      <x:c r="M136" s="452"/>
      <x:c r="N136" s="452"/>
      <x:c r="P136" s="498"/>
      <x:c r="Q136" s="498"/>
      <x:c r="R136" s="498"/>
      <x:c r="S136" s="500"/>
      <x:c r="T136" s="37"/>
      <x:c r="U136" s="40"/>
      <x:c r="V136" s="41"/>
      <x:c r="W136" s="42"/>
      <x:c r="Y136" s="40"/>
      <x:c r="Z136" s="37"/>
      <x:c r="AA136" s="44"/>
      <x:c r="AB136" s="498"/>
      <x:c r="AC136" s="498"/>
      <x:c r="AD136" s="37"/>
      <x:c r="AE136" s="37"/>
      <x:c r="AF136" s="504"/>
      <x:c r="AG136" s="504"/>
      <x:c r="AH136" s="70"/>
      <x:c r="AI136" s="37"/>
      <x:c r="AJ136" s="37"/>
      <x:c r="AK136" s="37"/>
      <x:c r="AL136" s="37"/>
      <x:c r="AM136" s="37"/>
      <x:c r="AN136" s="37"/>
    </x:row>
    <x:row r="137" spans="1:40" customHeight="1">
      <x:c r="A137" s="54"/>
      <x:c r="B137" s="51"/>
      <x:c r="C137" s="51"/>
      <x:c r="D137" s="51"/>
      <x:c r="E137" s="51"/>
      <x:c r="F137" s="44"/>
      <x:c r="G137" s="54"/>
      <x:c r="H137" s="44"/>
      <x:c r="I137" s="44"/>
      <x:c r="J137" s="44"/>
      <x:c r="K137" s="453"/>
      <x:c r="L137" s="453"/>
      <x:c r="M137" s="453"/>
      <x:c r="N137" s="453"/>
      <x:c r="P137" s="489"/>
      <x:c r="Q137" s="489"/>
      <x:c r="R137" s="489"/>
      <x:c r="S137" s="501"/>
      <x:c r="T137" s="44"/>
      <x:c r="U137" s="56"/>
      <x:c r="V137" s="57"/>
      <x:c r="W137" s="58"/>
      <x:c r="Y137" s="56"/>
      <x:c r="Z137" s="44"/>
      <x:c r="AA137" s="44"/>
      <x:c r="AB137" s="498"/>
      <x:c r="AC137" s="498"/>
      <x:c r="AD137" s="37"/>
      <x:c r="AE137" s="37"/>
      <x:c r="AF137" s="504"/>
      <x:c r="AG137" s="504"/>
      <x:c r="AH137" s="70"/>
      <x:c r="AI137" s="44"/>
      <x:c r="AJ137" s="44"/>
      <x:c r="AK137" s="37"/>
      <x:c r="AL137" s="44"/>
      <x:c r="AM137" s="44"/>
      <x:c r="AN137" s="44"/>
    </x:row>
    <x:row r="138" spans="1:40" customHeight="1">
      <x:c r="A138" s="54"/>
      <x:c r="B138" s="51"/>
      <x:c r="C138" s="51"/>
      <x:c r="D138" s="51"/>
      <x:c r="E138" s="51"/>
      <x:c r="F138" s="44"/>
      <x:c r="G138" s="54"/>
      <x:c r="H138" s="44"/>
      <x:c r="I138" s="44"/>
      <x:c r="J138" s="44"/>
      <x:c r="K138" s="453"/>
      <x:c r="L138" s="453"/>
      <x:c r="M138" s="453"/>
      <x:c r="N138" s="453"/>
      <x:c r="P138" s="489"/>
      <x:c r="Q138" s="489"/>
      <x:c r="R138" s="489"/>
      <x:c r="S138" s="501"/>
      <x:c r="T138" s="44"/>
      <x:c r="U138" s="56"/>
      <x:c r="V138" s="57"/>
      <x:c r="W138" s="58"/>
      <x:c r="Y138" s="56"/>
      <x:c r="Z138" s="44"/>
      <x:c r="AA138" s="44"/>
      <x:c r="AB138" s="498"/>
      <x:c r="AC138" s="498"/>
      <x:c r="AD138" s="37"/>
      <x:c r="AE138" s="37"/>
      <x:c r="AF138" s="504"/>
      <x:c r="AG138" s="504"/>
      <x:c r="AH138" s="70"/>
      <x:c r="AI138" s="44"/>
      <x:c r="AJ138" s="44"/>
      <x:c r="AK138" s="37"/>
      <x:c r="AL138" s="44"/>
      <x:c r="AM138" s="44"/>
      <x:c r="AN138" s="44"/>
    </x:row>
    <x:row r="139" spans="1:40" customHeight="1">
      <x:c r="A139" s="54"/>
      <x:c r="B139" s="51"/>
      <x:c r="C139" s="51"/>
      <x:c r="D139" s="51"/>
      <x:c r="E139" s="51"/>
      <x:c r="F139" s="44"/>
      <x:c r="G139" s="54"/>
      <x:c r="H139" s="44"/>
      <x:c r="I139" s="44"/>
      <x:c r="J139" s="44"/>
      <x:c r="K139" s="453"/>
      <x:c r="L139" s="453"/>
      <x:c r="M139" s="453"/>
      <x:c r="N139" s="453"/>
      <x:c r="P139" s="489"/>
      <x:c r="Q139" s="489"/>
      <x:c r="R139" s="489"/>
      <x:c r="S139" s="501"/>
      <x:c r="T139" s="44"/>
      <x:c r="U139" s="56"/>
      <x:c r="V139" s="57"/>
      <x:c r="W139" s="58"/>
      <x:c r="Y139" s="56"/>
      <x:c r="Z139" s="44"/>
      <x:c r="AA139" s="44"/>
      <x:c r="AB139" s="498"/>
      <x:c r="AC139" s="498"/>
      <x:c r="AD139" s="37"/>
      <x:c r="AE139" s="37"/>
      <x:c r="AF139" s="504"/>
      <x:c r="AG139" s="504"/>
      <x:c r="AH139" s="70"/>
      <x:c r="AI139" s="44"/>
      <x:c r="AJ139" s="44"/>
      <x:c r="AK139" s="37"/>
      <x:c r="AL139" s="44"/>
      <x:c r="AM139" s="44"/>
      <x:c r="AN139" s="44"/>
    </x:row>
    <x:row r="140" spans="1:40" customHeight="1">
      <x:c r="A140" s="54"/>
      <x:c r="B140" s="51"/>
      <x:c r="C140" s="51"/>
      <x:c r="D140" s="51"/>
      <x:c r="E140" s="51"/>
      <x:c r="F140" s="44"/>
      <x:c r="G140" s="54"/>
      <x:c r="H140" s="44"/>
      <x:c r="I140" s="44"/>
      <x:c r="J140" s="44"/>
      <x:c r="K140" s="453"/>
      <x:c r="L140" s="453"/>
      <x:c r="M140" s="453"/>
      <x:c r="N140" s="453"/>
      <x:c r="P140" s="489"/>
      <x:c r="Q140" s="489"/>
      <x:c r="R140" s="489"/>
      <x:c r="S140" s="501"/>
      <x:c r="T140" s="44"/>
      <x:c r="U140" s="56"/>
      <x:c r="V140" s="57"/>
      <x:c r="W140" s="58"/>
      <x:c r="Y140" s="56"/>
      <x:c r="Z140" s="44"/>
      <x:c r="AA140" s="44"/>
      <x:c r="AB140" s="498"/>
      <x:c r="AC140" s="498"/>
      <x:c r="AD140" s="37"/>
      <x:c r="AE140" s="37"/>
      <x:c r="AF140" s="504"/>
      <x:c r="AG140" s="504"/>
      <x:c r="AH140" s="70"/>
      <x:c r="AI140" s="44"/>
      <x:c r="AJ140" s="44"/>
      <x:c r="AK140" s="37"/>
      <x:c r="AL140" s="44"/>
      <x:c r="AM140" s="44"/>
      <x:c r="AN140" s="44"/>
    </x:row>
    <x:row r="141" spans="1:40" customHeight="1">
      <x:c r="A141" s="54"/>
      <x:c r="B141" s="51"/>
      <x:c r="C141" s="51"/>
      <x:c r="D141" s="51"/>
      <x:c r="E141" s="51"/>
      <x:c r="F141" s="44"/>
      <x:c r="G141" s="54"/>
      <x:c r="H141" s="44"/>
      <x:c r="I141" s="44"/>
      <x:c r="J141" s="44"/>
      <x:c r="K141" s="453"/>
      <x:c r="L141" s="453"/>
      <x:c r="M141" s="453"/>
      <x:c r="N141" s="453"/>
      <x:c r="P141" s="489"/>
      <x:c r="Q141" s="489"/>
      <x:c r="R141" s="489"/>
      <x:c r="S141" s="501"/>
      <x:c r="T141" s="44"/>
      <x:c r="U141" s="56"/>
      <x:c r="V141" s="57"/>
      <x:c r="W141" s="58"/>
      <x:c r="Y141" s="56"/>
      <x:c r="Z141" s="44"/>
      <x:c r="AA141" s="44"/>
      <x:c r="AB141" s="498"/>
      <x:c r="AC141" s="498"/>
      <x:c r="AD141" s="37"/>
      <x:c r="AE141" s="37"/>
      <x:c r="AF141" s="498"/>
      <x:c r="AG141" s="489"/>
      <x:c r="AH141" s="44"/>
      <x:c r="AI141" s="44"/>
      <x:c r="AJ141" s="44"/>
      <x:c r="AK141" s="37"/>
      <x:c r="AL141" s="44"/>
      <x:c r="AM141" s="44"/>
      <x:c r="AN141" s="44"/>
    </x:row>
    <x:row r="142" spans="1:40" customHeight="1">
      <x:c r="A142" s="54"/>
      <x:c r="B142" s="51"/>
      <x:c r="C142" s="51"/>
      <x:c r="D142" s="51"/>
      <x:c r="E142" s="51"/>
      <x:c r="F142" s="44"/>
      <x:c r="G142" s="54"/>
      <x:c r="H142" s="44"/>
      <x:c r="I142" s="44"/>
      <x:c r="J142" s="44"/>
      <x:c r="K142" s="453"/>
      <x:c r="L142" s="453"/>
      <x:c r="M142" s="453"/>
      <x:c r="N142" s="453"/>
      <x:c r="P142" s="489"/>
      <x:c r="Q142" s="489"/>
      <x:c r="R142" s="489"/>
      <x:c r="S142" s="501"/>
      <x:c r="T142" s="44"/>
      <x:c r="U142" s="56"/>
      <x:c r="V142" s="57"/>
      <x:c r="W142" s="58"/>
      <x:c r="Y142" s="56"/>
      <x:c r="Z142" s="44"/>
      <x:c r="AA142" s="44"/>
      <x:c r="AB142" s="498"/>
      <x:c r="AC142" s="498"/>
      <x:c r="AD142" s="37"/>
      <x:c r="AE142" s="37"/>
      <x:c r="AF142" s="498"/>
      <x:c r="AG142" s="489"/>
      <x:c r="AH142" s="44"/>
      <x:c r="AI142" s="44"/>
      <x:c r="AJ142" s="44"/>
      <x:c r="AK142" s="37"/>
      <x:c r="AL142" s="44"/>
      <x:c r="AM142" s="44"/>
      <x:c r="AN142" s="44"/>
    </x:row>
    <x:row r="143" spans="1:40" customHeight="1">
      <x:c r="A143" s="54"/>
      <x:c r="B143" s="51"/>
      <x:c r="C143" s="51"/>
      <x:c r="D143" s="51"/>
      <x:c r="E143" s="51"/>
      <x:c r="F143" s="44"/>
      <x:c r="G143" s="54"/>
      <x:c r="H143" s="44"/>
      <x:c r="I143" s="44"/>
      <x:c r="J143" s="44"/>
      <x:c r="K143" s="453"/>
      <x:c r="L143" s="453"/>
      <x:c r="M143" s="453"/>
      <x:c r="N143" s="453"/>
      <x:c r="P143" s="489"/>
      <x:c r="Q143" s="489"/>
      <x:c r="R143" s="489"/>
      <x:c r="S143" s="501"/>
      <x:c r="T143" s="44"/>
      <x:c r="U143" s="56"/>
      <x:c r="V143" s="57"/>
      <x:c r="W143" s="58"/>
      <x:c r="Y143" s="56"/>
      <x:c r="Z143" s="44"/>
      <x:c r="AA143" s="44"/>
      <x:c r="AB143" s="498"/>
      <x:c r="AC143" s="498"/>
      <x:c r="AD143" s="37"/>
      <x:c r="AE143" s="37"/>
      <x:c r="AF143" s="498"/>
      <x:c r="AG143" s="489"/>
      <x:c r="AH143" s="44"/>
      <x:c r="AI143" s="44"/>
      <x:c r="AJ143" s="44"/>
      <x:c r="AK143" s="37"/>
      <x:c r="AL143" s="44"/>
      <x:c r="AM143" s="44"/>
      <x:c r="AN143" s="44"/>
    </x:row>
    <x:row r="144" spans="1:40" customHeight="1">
      <x:c r="A144" s="54"/>
      <x:c r="B144" s="51"/>
      <x:c r="C144" s="51"/>
      <x:c r="D144" s="51"/>
      <x:c r="E144" s="51"/>
      <x:c r="F144" s="44"/>
      <x:c r="G144" s="54"/>
      <x:c r="H144" s="44"/>
      <x:c r="I144" s="44"/>
      <x:c r="J144" s="44"/>
      <x:c r="K144" s="453"/>
      <x:c r="L144" s="453"/>
      <x:c r="M144" s="453"/>
      <x:c r="N144" s="453"/>
      <x:c r="P144" s="489"/>
      <x:c r="Q144" s="489"/>
      <x:c r="R144" s="489"/>
      <x:c r="S144" s="501"/>
      <x:c r="T144" s="44"/>
      <x:c r="U144" s="56"/>
      <x:c r="V144" s="57"/>
      <x:c r="W144" s="58"/>
      <x:c r="Y144" s="56"/>
      <x:c r="Z144" s="44"/>
      <x:c r="AA144" s="44"/>
      <x:c r="AB144" s="498"/>
      <x:c r="AC144" s="498"/>
      <x:c r="AD144" s="37"/>
      <x:c r="AE144" s="37"/>
      <x:c r="AF144" s="498"/>
      <x:c r="AG144" s="489"/>
      <x:c r="AH144" s="44"/>
      <x:c r="AI144" s="44"/>
      <x:c r="AJ144" s="44"/>
      <x:c r="AK144" s="37"/>
      <x:c r="AL144" s="44"/>
      <x:c r="AM144" s="44"/>
      <x:c r="AN144" s="44"/>
    </x:row>
    <x:row r="145" spans="1:40" customHeight="1">
      <x:c r="A145" s="54"/>
      <x:c r="B145" s="51"/>
      <x:c r="C145" s="51"/>
      <x:c r="D145" s="51"/>
      <x:c r="E145" s="51"/>
      <x:c r="F145" s="44"/>
      <x:c r="G145" s="54"/>
      <x:c r="H145" s="44"/>
      <x:c r="I145" s="44"/>
      <x:c r="J145" s="44"/>
      <x:c r="K145" s="453"/>
      <x:c r="L145" s="453"/>
      <x:c r="M145" s="453"/>
      <x:c r="N145" s="453"/>
      <x:c r="P145" s="489"/>
      <x:c r="Q145" s="489"/>
      <x:c r="R145" s="489"/>
      <x:c r="S145" s="501"/>
      <x:c r="T145" s="44"/>
      <x:c r="U145" s="56"/>
      <x:c r="V145" s="57"/>
      <x:c r="W145" s="58"/>
      <x:c r="Y145" s="56"/>
      <x:c r="Z145" s="44"/>
      <x:c r="AA145" s="44"/>
      <x:c r="AB145" s="498"/>
      <x:c r="AC145" s="498"/>
      <x:c r="AD145" s="37"/>
      <x:c r="AE145" s="37"/>
      <x:c r="AF145" s="498"/>
      <x:c r="AG145" s="489"/>
      <x:c r="AH145" s="44"/>
      <x:c r="AI145" s="44"/>
      <x:c r="AJ145" s="44"/>
      <x:c r="AK145" s="37"/>
      <x:c r="AL145" s="44"/>
      <x:c r="AM145" s="44"/>
      <x:c r="AN145" s="44"/>
    </x:row>
    <x:row r="146" spans="1:40" customHeight="1">
      <x:c r="A146" s="54"/>
      <x:c r="B146" s="51"/>
      <x:c r="C146" s="51"/>
      <x:c r="D146" s="51"/>
      <x:c r="E146" s="51"/>
      <x:c r="F146" s="44"/>
      <x:c r="G146" s="54"/>
      <x:c r="H146" s="44"/>
      <x:c r="I146" s="44"/>
      <x:c r="J146" s="44"/>
      <x:c r="K146" s="453"/>
      <x:c r="L146" s="453"/>
      <x:c r="M146" s="453"/>
      <x:c r="N146" s="453"/>
      <x:c r="P146" s="489"/>
      <x:c r="Q146" s="489"/>
      <x:c r="R146" s="489"/>
      <x:c r="S146" s="501"/>
      <x:c r="T146" s="44"/>
      <x:c r="U146" s="56"/>
      <x:c r="V146" s="57"/>
      <x:c r="W146" s="58"/>
      <x:c r="Y146" s="56"/>
      <x:c r="Z146" s="44"/>
      <x:c r="AA146" s="44"/>
      <x:c r="AB146" s="498"/>
      <x:c r="AC146" s="498"/>
      <x:c r="AD146" s="37"/>
      <x:c r="AE146" s="37"/>
      <x:c r="AF146" s="498"/>
      <x:c r="AG146" s="489"/>
      <x:c r="AH146" s="44"/>
      <x:c r="AI146" s="44"/>
      <x:c r="AJ146" s="44"/>
      <x:c r="AK146" s="37"/>
      <x:c r="AL146" s="44"/>
      <x:c r="AM146" s="44"/>
      <x:c r="AN146" s="44"/>
    </x:row>
    <x:row r="147" spans="1:40" customHeight="1">
      <x:c r="A147" s="54"/>
      <x:c r="B147" s="51"/>
      <x:c r="C147" s="51"/>
      <x:c r="D147" s="51"/>
      <x:c r="E147" s="51"/>
      <x:c r="F147" s="44"/>
      <x:c r="G147" s="54"/>
      <x:c r="H147" s="44"/>
      <x:c r="I147" s="44"/>
      <x:c r="J147" s="44"/>
      <x:c r="K147" s="453"/>
      <x:c r="L147" s="453"/>
      <x:c r="M147" s="453"/>
      <x:c r="N147" s="453"/>
      <x:c r="P147" s="489"/>
      <x:c r="Q147" s="489"/>
      <x:c r="R147" s="489"/>
      <x:c r="S147" s="501"/>
      <x:c r="T147" s="44"/>
      <x:c r="U147" s="56"/>
      <x:c r="V147" s="57"/>
      <x:c r="W147" s="58"/>
      <x:c r="Y147" s="56"/>
      <x:c r="Z147" s="44"/>
      <x:c r="AA147" s="44"/>
      <x:c r="AB147" s="489"/>
      <x:c r="AC147" s="489"/>
      <x:c r="AD147" s="44"/>
      <x:c r="AE147" s="44"/>
      <x:c r="AF147" s="489"/>
      <x:c r="AG147" s="489"/>
      <x:c r="AH147" s="44"/>
      <x:c r="AI147" s="44"/>
      <x:c r="AJ147" s="44"/>
      <x:c r="AL147" s="44"/>
      <x:c r="AM147" s="44"/>
      <x:c r="AN147" s="44"/>
    </x:row>
    <x:row r="148" spans="1:40" customHeight="1">
      <x:c r="A148" s="54"/>
      <x:c r="B148" s="51"/>
      <x:c r="C148" s="51"/>
      <x:c r="D148" s="51"/>
      <x:c r="E148" s="51"/>
      <x:c r="F148" s="44"/>
      <x:c r="G148" s="54"/>
      <x:c r="H148" s="44"/>
      <x:c r="I148" s="44"/>
      <x:c r="J148" s="44"/>
      <x:c r="K148" s="453"/>
      <x:c r="L148" s="453"/>
      <x:c r="M148" s="453"/>
      <x:c r="N148" s="453"/>
      <x:c r="P148" s="489"/>
      <x:c r="Q148" s="489"/>
      <x:c r="R148" s="489"/>
      <x:c r="S148" s="501"/>
      <x:c r="T148" s="44"/>
      <x:c r="U148" s="56"/>
      <x:c r="V148" s="57"/>
      <x:c r="W148" s="58"/>
      <x:c r="Y148" s="56"/>
      <x:c r="Z148" s="44"/>
      <x:c r="AA148" s="44"/>
      <x:c r="AB148" s="489"/>
      <x:c r="AC148" s="489"/>
      <x:c r="AD148" s="44"/>
      <x:c r="AE148" s="44"/>
      <x:c r="AF148" s="489"/>
      <x:c r="AG148" s="489"/>
      <x:c r="AH148" s="44"/>
      <x:c r="AI148" s="44"/>
      <x:c r="AJ148" s="44"/>
      <x:c r="AL148" s="44"/>
      <x:c r="AM148" s="44"/>
      <x:c r="AN148" s="44"/>
    </x:row>
    <x:row r="149" spans="1:40" customHeight="1">
      <x:c r="A149" s="54"/>
      <x:c r="B149" s="51"/>
      <x:c r="C149" s="51"/>
      <x:c r="D149" s="51"/>
      <x:c r="E149" s="51"/>
      <x:c r="F149" s="44"/>
      <x:c r="G149" s="54"/>
      <x:c r="H149" s="44"/>
      <x:c r="I149" s="44"/>
      <x:c r="J149" s="44"/>
      <x:c r="K149" s="453"/>
      <x:c r="L149" s="453"/>
      <x:c r="M149" s="453"/>
      <x:c r="N149" s="453"/>
      <x:c r="P149" s="489"/>
      <x:c r="Q149" s="489"/>
      <x:c r="R149" s="489"/>
      <x:c r="S149" s="501"/>
      <x:c r="T149" s="44"/>
      <x:c r="U149" s="56"/>
      <x:c r="V149" s="57"/>
      <x:c r="W149" s="58"/>
      <x:c r="Y149" s="56"/>
      <x:c r="Z149" s="44"/>
      <x:c r="AA149" s="44"/>
      <x:c r="AB149" s="489"/>
      <x:c r="AC149" s="489"/>
      <x:c r="AD149" s="44"/>
      <x:c r="AE149" s="44"/>
      <x:c r="AF149" s="489"/>
      <x:c r="AG149" s="489"/>
      <x:c r="AH149" s="44"/>
      <x:c r="AI149" s="44"/>
      <x:c r="AJ149" s="44"/>
      <x:c r="AL149" s="44"/>
      <x:c r="AM149" s="44"/>
      <x:c r="AN149" s="44"/>
    </x:row>
    <x:row r="150" spans="1:40" customHeight="1">
      <x:c r="A150" s="54"/>
      <x:c r="B150" s="51"/>
      <x:c r="C150" s="51"/>
      <x:c r="D150" s="51"/>
      <x:c r="E150" s="51"/>
      <x:c r="F150" s="44"/>
      <x:c r="G150" s="54"/>
      <x:c r="H150" s="44"/>
      <x:c r="I150" s="44"/>
      <x:c r="J150" s="44"/>
      <x:c r="K150" s="453"/>
      <x:c r="L150" s="453"/>
      <x:c r="M150" s="453"/>
      <x:c r="N150" s="453"/>
      <x:c r="P150" s="489"/>
      <x:c r="Q150" s="489"/>
      <x:c r="R150" s="489"/>
      <x:c r="S150" s="501"/>
      <x:c r="T150" s="44"/>
      <x:c r="U150" s="56"/>
      <x:c r="V150" s="57"/>
      <x:c r="W150" s="58"/>
      <x:c r="Y150" s="56"/>
      <x:c r="Z150" s="44"/>
      <x:c r="AA150" s="44"/>
      <x:c r="AB150" s="489"/>
      <x:c r="AC150" s="489"/>
      <x:c r="AD150" s="44"/>
      <x:c r="AE150" s="44"/>
      <x:c r="AF150" s="489"/>
      <x:c r="AG150" s="489"/>
      <x:c r="AH150" s="44"/>
      <x:c r="AI150" s="44"/>
      <x:c r="AJ150" s="44"/>
      <x:c r="AL150" s="44"/>
      <x:c r="AM150" s="44"/>
      <x:c r="AN150" s="44"/>
    </x:row>
    <x:row r="151" spans="1:40" customHeight="1">
      <x:c r="A151" s="54"/>
      <x:c r="B151" s="51"/>
      <x:c r="C151" s="51"/>
      <x:c r="D151" s="51"/>
      <x:c r="E151" s="51"/>
      <x:c r="F151" s="44"/>
      <x:c r="G151" s="54"/>
      <x:c r="H151" s="44"/>
      <x:c r="I151" s="44"/>
      <x:c r="J151" s="44"/>
      <x:c r="K151" s="453"/>
      <x:c r="L151" s="453"/>
      <x:c r="M151" s="453"/>
      <x:c r="N151" s="453"/>
      <x:c r="P151" s="489"/>
      <x:c r="Q151" s="489"/>
      <x:c r="R151" s="489"/>
      <x:c r="S151" s="501"/>
      <x:c r="T151" s="44"/>
      <x:c r="U151" s="56"/>
      <x:c r="V151" s="57"/>
      <x:c r="W151" s="58"/>
      <x:c r="Y151" s="56"/>
      <x:c r="Z151" s="44"/>
      <x:c r="AA151" s="44"/>
      <x:c r="AB151" s="489"/>
      <x:c r="AC151" s="489"/>
      <x:c r="AD151" s="44"/>
      <x:c r="AE151" s="44"/>
      <x:c r="AF151" s="489"/>
      <x:c r="AG151" s="489"/>
      <x:c r="AH151" s="44"/>
      <x:c r="AI151" s="44"/>
      <x:c r="AJ151" s="44"/>
      <x:c r="AL151" s="44"/>
      <x:c r="AM151" s="44"/>
      <x:c r="AN151" s="44"/>
    </x:row>
  </x:sheetData>
  <x:sheetProtection sheet="0" objects="0" scenarios="0" formatCells="0" formatColumns="1" formatRows="1" insertColumns="1" insertRows="1" insertHyperlinks="1" deleteColumns="1" deleteRows="1" selectLockedCells="0" sort="1" autoFilter="0" pivotTables="1" selectUnlockedCells="0"/>
  <x:autoFilter ref="A6:AN126"/>
  <x:mergeCells count="70">
    <x:mergeCell ref="S4:S5"/>
    <x:mergeCell ref="P4:P5"/>
    <x:mergeCell ref="R4:R5"/>
    <x:mergeCell ref="Q4:Q5"/>
    <x:mergeCell ref="M4:M5"/>
    <x:mergeCell ref="N4:N5"/>
    <x:mergeCell ref="AJ1:AN1"/>
    <x:mergeCell ref="A4:A5"/>
    <x:mergeCell ref="B4:B5"/>
    <x:mergeCell ref="C4:C5"/>
    <x:mergeCell ref="D4:D5"/>
    <x:mergeCell ref="E4:E5"/>
    <x:mergeCell ref="AM4:AM5"/>
    <x:mergeCell ref="T4:T5"/>
    <x:mergeCell ref="AN4:AN5"/>
    <x:mergeCell ref="U4:U5"/>
    <x:mergeCell ref="V4:V5"/>
    <x:mergeCell ref="W4:W5"/>
    <x:mergeCell ref="Y4:Y5"/>
    <x:mergeCell ref="Z4:Z5"/>
    <x:mergeCell ref="AJ4:AJ5"/>
    <x:mergeCell ref="X4:X5"/>
    <x:mergeCell ref="AL4:AL5"/>
    <x:mergeCell ref="AK4:AK5"/>
    <x:mergeCell ref="A1:Z1"/>
    <x:mergeCell ref="B3:L3"/>
    <x:mergeCell ref="AB1:AD1"/>
    <x:mergeCell ref="AF1:AH1"/>
    <x:mergeCell ref="AF4:AH4"/>
    <x:mergeCell ref="AJ3:AN3"/>
    <x:mergeCell ref="F4:F5"/>
    <x:mergeCell ref="J4:J5"/>
    <x:mergeCell ref="O4:O5"/>
    <x:mergeCell ref="L4:L5"/>
    <x:mergeCell ref="K4:K5"/>
    <x:mergeCell ref="G4:G5"/>
    <x:mergeCell ref="I4:I5"/>
    <x:mergeCell ref="H4:H5"/>
    <x:mergeCell ref="AB4:AD4"/>
    <x:mergeCell ref="B103:J103"/>
    <x:mergeCell ref="B23:J23"/>
    <x:mergeCell ref="B111:J111"/>
    <x:mergeCell ref="B123:J123"/>
    <x:mergeCell ref="B39:J39"/>
    <x:mergeCell ref="B47:J47"/>
    <x:mergeCell ref="B95:J95"/>
    <x:mergeCell ref="B67:J67"/>
    <x:mergeCell ref="B71:J71"/>
    <x:mergeCell ref="B59:J59"/>
    <x:mergeCell ref="B63:J63"/>
    <x:mergeCell ref="B119:J119"/>
    <x:mergeCell ref="B115:J115"/>
    <x:mergeCell ref="B43:J43"/>
    <x:mergeCell ref="B19:J19"/>
    <x:mergeCell ref="B2:L2"/>
    <x:mergeCell ref="B7:J7"/>
    <x:mergeCell ref="B107:J107"/>
    <x:mergeCell ref="B99:J99"/>
    <x:mergeCell ref="B91:J91"/>
    <x:mergeCell ref="B87:J87"/>
    <x:mergeCell ref="B83:J83"/>
    <x:mergeCell ref="B75:J75"/>
    <x:mergeCell ref="B79:J79"/>
    <x:mergeCell ref="B31:J31"/>
    <x:mergeCell ref="B27:J27"/>
    <x:mergeCell ref="B51:J51"/>
    <x:mergeCell ref="B11:J11"/>
    <x:mergeCell ref="B15:J15"/>
    <x:mergeCell ref="B35:J35"/>
    <x:mergeCell ref="B55:J55"/>
  </x:mergeCells>
  <x:conditionalFormatting sqref="AF1:AF1 AB1:AB1 O1:O3 O127:O1048576 O6:O6 AB3:AB10 AF3:AF10 AB12:AB14 AF12:AF14 AB16:AB18 AF16:AF18 AB20:AB22 AF20:AF22 AB24:AB26 AF24:AF26 AB28:AB30 AF28:AF30 AB32:AB34 AF32:AF34 AB36:AB38 AF36:AF38 AB40:AB42 AF40:AF42 AB44:AB46 AF44:AF46 AB48:AB50 AF48:AF50 AB52:AB54 AF52:AF54 AB56:AB58 AF56:AF58 AB60:AB62 AF60:AF62 AB64:AB66 AF64:AF66 AB68:AB70 AF68:AF70 AB72:AB74 AF72:AF74 AB76:AB78 AF76:AF78 AB80:AB82 AF80:AF82 AB84:AB86 AF84:AF86 AB88:AB90 AF88:AF90 AB92:AB94 AF92:AF94 AB96:AB98 AF96:AF98 AB100:AB102 AF100:AF102 AB104:AB106 AF104:AF106 AB108:AB110 AF108:AF110 AB112:AB114 AF112:AF114 AB116:AB118 AF116:AF118 AB120:AB122 AF120:AF122 AB124:AB1048576 AF124:AF1048576">
    <x:cfRule type="containsText" dxfId="340" priority="1160" operator="containsText" text="금액입력">
      <x:formula>NOT(ISERROR(SEARCH("금액입력",O1)))</x:formula>
    </x:cfRule>
  </x:conditionalFormatting>
  <x:conditionalFormatting sqref="F1:G3 F127:G1048576 F19:G19 F87:G87 F11:G11 F15:G15 F23:G23 F27:G27 F31:G31 F35:G35 F39:G39 F43:G43 F47:G47 F51:G51 F55:G55 F59:G59 F63:G63 F67:G67 F71:G71 F75:G75 F79:G79 F83:G83 F91:G91 F95:G95 F99:G99 F103:G103 F107:G107 F6:G7">
    <x:cfRule type="containsText" dxfId="339" priority="1159" operator="containsText" text="직접입력">
      <x:formula>NOT(ISERROR(SEARCH("직접입력",F1)))</x:formula>
    </x:cfRule>
  </x:conditionalFormatting>
  <x:conditionalFormatting sqref="K1:K110 K112:K114 K116:K118 K120:K122 K124:K1048576">
    <x:cfRule type="containsText" dxfId="338" priority="1158" operator="containsText" text="세부사업명 입력">
      <x:formula>NOT(ISERROR(SEARCH("세부사업명 입력",K1)))</x:formula>
    </x:cfRule>
  </x:conditionalFormatting>
  <x:conditionalFormatting sqref="L1:N3 L127:N1048576 L4:L110 L112:L114 L116:L118 L120:L122 L124:L126">
    <x:cfRule type="containsText" dxfId="337" priority="1157" operator="containsText" text="부기명 입력">
      <x:formula>NOT(ISERROR(SEARCH("부기명 입력",L1)))</x:formula>
    </x:cfRule>
  </x:conditionalFormatting>
  <x:conditionalFormatting sqref="AJ4:AJ10 AJ12:AJ14 AJ16:AJ18 AJ20:AJ22 AJ24:AJ26 AJ28:AJ30 AJ32:AJ34 AJ36:AJ38 AJ40:AJ42 AJ44:AJ46 AJ48:AJ50 AJ52:AJ54 AJ56:AJ58 AJ60:AJ62 AJ64:AJ66 AJ68:AJ70 AJ72:AJ74 AJ76:AJ78 AJ80:AJ82 AJ84:AJ86 AJ88:AJ90 AJ92:AJ94 AJ96:AJ98 AJ100:AJ102 AJ104:AJ106 AJ108:AJ110 AJ112:AJ114 AJ116:AJ118 AJ120:AJ122 AJ124:AJ1012">
    <x:cfRule type="containsText" dxfId="336" priority="1156" operator="containsText" text="직접입력">
      <x:formula>NOT(ISERROR(SEARCH("직접입력",AJ4)))</x:formula>
    </x:cfRule>
  </x:conditionalFormatting>
  <x:conditionalFormatting sqref="F123:G123">
    <x:cfRule type="containsText" dxfId="335" priority="1154" operator="containsText" text="직접입력">
      <x:formula>NOT(ISERROR(SEARCH("직접입력",F123)))</x:formula>
    </x:cfRule>
  </x:conditionalFormatting>
  <x:conditionalFormatting sqref="K123:K123">
    <x:cfRule type="containsText" dxfId="334" priority="1153" operator="containsText" text="세부사업명 입력">
      <x:formula>NOT(ISERROR(SEARCH("세부사업명 입력",K123)))</x:formula>
    </x:cfRule>
  </x:conditionalFormatting>
  <x:conditionalFormatting sqref="L123:L123">
    <x:cfRule type="containsText" dxfId="333" priority="1152" operator="containsText" text="부기명 입력">
      <x:formula>NOT(ISERROR(SEARCH("부기명 입력",L123)))</x:formula>
    </x:cfRule>
  </x:conditionalFormatting>
  <x:conditionalFormatting sqref="O8:O10 O12:O14 O16:O18 O20:O22 O24:O26 O28:O30 O32:O34 O36:O38 O40:O42 O44:O46 O48:O50 O52:O54 O56:O58 O60:O62 O64:O66 O68:O70 O72:O74 O76:O78 O80:O82 O84:O86 O88:O90 O92:O94 O96:O98 O100:O102 O104:O106 O108:O110 O112:O114 O116:O118 O120:O122 O124:O126">
    <x:cfRule type="containsText" dxfId="332" priority="964" operator="containsText" text="금액입력">
      <x:formula>NOT(ISERROR(SEARCH("금액입력",O8)))</x:formula>
    </x:cfRule>
  </x:conditionalFormatting>
  <x:conditionalFormatting sqref="M7:S7">
    <x:cfRule type="containsText" dxfId="331" priority="856" operator="containsText" text="금액입력">
      <x:formula>NOT(ISERROR(SEARCH("금액입력",M7)))</x:formula>
    </x:cfRule>
  </x:conditionalFormatting>
  <x:conditionalFormatting sqref="M11:S11">
    <x:cfRule type="containsText" dxfId="330" priority="855" operator="containsText" text="금액입력">
      <x:formula>NOT(ISERROR(SEARCH("금액입력",M11)))</x:formula>
    </x:cfRule>
  </x:conditionalFormatting>
  <x:conditionalFormatting sqref="M15:S15">
    <x:cfRule type="containsText" dxfId="329" priority="854" operator="containsText" text="금액입력">
      <x:formula>NOT(ISERROR(SEARCH("금액입력",M15)))</x:formula>
    </x:cfRule>
  </x:conditionalFormatting>
  <x:conditionalFormatting sqref="M19:S19">
    <x:cfRule type="containsText" dxfId="328" priority="853" operator="containsText" text="금액입력">
      <x:formula>NOT(ISERROR(SEARCH("금액입력",M19)))</x:formula>
    </x:cfRule>
  </x:conditionalFormatting>
  <x:conditionalFormatting sqref="M23:S23">
    <x:cfRule type="containsText" dxfId="327" priority="852" operator="containsText" text="금액입력">
      <x:formula>NOT(ISERROR(SEARCH("금액입력",M23)))</x:formula>
    </x:cfRule>
  </x:conditionalFormatting>
  <x:conditionalFormatting sqref="M27:S27">
    <x:cfRule type="containsText" dxfId="326" priority="851" operator="containsText" text="금액입력">
      <x:formula>NOT(ISERROR(SEARCH("금액입력",M27)))</x:formula>
    </x:cfRule>
  </x:conditionalFormatting>
  <x:conditionalFormatting sqref="M31:S31">
    <x:cfRule type="containsText" dxfId="325" priority="850" operator="containsText" text="금액입력">
      <x:formula>NOT(ISERROR(SEARCH("금액입력",M31)))</x:formula>
    </x:cfRule>
  </x:conditionalFormatting>
  <x:conditionalFormatting sqref="M35:S35">
    <x:cfRule type="containsText" dxfId="324" priority="849" operator="containsText" text="금액입력">
      <x:formula>NOT(ISERROR(SEARCH("금액입력",M35)))</x:formula>
    </x:cfRule>
  </x:conditionalFormatting>
  <x:conditionalFormatting sqref="M6:N6">
    <x:cfRule type="containsText" dxfId="323" priority="829" operator="containsText" text="금액입력">
      <x:formula>NOT(ISERROR(SEARCH("금액입력",M6)))</x:formula>
    </x:cfRule>
  </x:conditionalFormatting>
  <x:conditionalFormatting sqref="M39:S39">
    <x:cfRule type="containsText" dxfId="322" priority="848" operator="containsText" text="금액입력">
      <x:formula>NOT(ISERROR(SEARCH("금액입력",M39)))</x:formula>
    </x:cfRule>
  </x:conditionalFormatting>
  <x:conditionalFormatting sqref="M43:S43">
    <x:cfRule type="containsText" dxfId="321" priority="847" operator="containsText" text="금액입력">
      <x:formula>NOT(ISERROR(SEARCH("금액입력",M43)))</x:formula>
    </x:cfRule>
  </x:conditionalFormatting>
  <x:conditionalFormatting sqref="M47:S47">
    <x:cfRule type="containsText" dxfId="320" priority="846" operator="containsText" text="금액입력">
      <x:formula>NOT(ISERROR(SEARCH("금액입력",M47)))</x:formula>
    </x:cfRule>
  </x:conditionalFormatting>
  <x:conditionalFormatting sqref="M51:S51">
    <x:cfRule type="containsText" dxfId="319" priority="845" operator="containsText" text="금액입력">
      <x:formula>NOT(ISERROR(SEARCH("금액입력",M51)))</x:formula>
    </x:cfRule>
  </x:conditionalFormatting>
  <x:conditionalFormatting sqref="M55:S55">
    <x:cfRule type="containsText" dxfId="318" priority="844" operator="containsText" text="금액입력">
      <x:formula>NOT(ISERROR(SEARCH("금액입력",M55)))</x:formula>
    </x:cfRule>
  </x:conditionalFormatting>
  <x:conditionalFormatting sqref="M59:S59">
    <x:cfRule type="containsText" dxfId="317" priority="843" operator="containsText" text="금액입력">
      <x:formula>NOT(ISERROR(SEARCH("금액입력",M59)))</x:formula>
    </x:cfRule>
  </x:conditionalFormatting>
  <x:conditionalFormatting sqref="M63:S63">
    <x:cfRule type="containsText" dxfId="316" priority="842" operator="containsText" text="금액입력">
      <x:formula>NOT(ISERROR(SEARCH("금액입력",M63)))</x:formula>
    </x:cfRule>
  </x:conditionalFormatting>
  <x:conditionalFormatting sqref="M67:S67">
    <x:cfRule type="containsText" dxfId="315" priority="841" operator="containsText" text="금액입력">
      <x:formula>NOT(ISERROR(SEARCH("금액입력",M67)))</x:formula>
    </x:cfRule>
  </x:conditionalFormatting>
  <x:conditionalFormatting sqref="M71:S71">
    <x:cfRule type="containsText" dxfId="314" priority="840" operator="containsText" text="금액입력">
      <x:formula>NOT(ISERROR(SEARCH("금액입력",M71)))</x:formula>
    </x:cfRule>
  </x:conditionalFormatting>
  <x:conditionalFormatting sqref="M75:S75">
    <x:cfRule type="containsText" dxfId="313" priority="839" operator="containsText" text="금액입력">
      <x:formula>NOT(ISERROR(SEARCH("금액입력",M75)))</x:formula>
    </x:cfRule>
  </x:conditionalFormatting>
  <x:conditionalFormatting sqref="M79:S79">
    <x:cfRule type="containsText" dxfId="312" priority="838" operator="containsText" text="금액입력">
      <x:formula>NOT(ISERROR(SEARCH("금액입력",M79)))</x:formula>
    </x:cfRule>
  </x:conditionalFormatting>
  <x:conditionalFormatting sqref="M83:S83">
    <x:cfRule type="containsText" dxfId="311" priority="837" operator="containsText" text="금액입력">
      <x:formula>NOT(ISERROR(SEARCH("금액입력",M83)))</x:formula>
    </x:cfRule>
  </x:conditionalFormatting>
  <x:conditionalFormatting sqref="M87:S87">
    <x:cfRule type="containsText" dxfId="310" priority="836" operator="containsText" text="금액입력">
      <x:formula>NOT(ISERROR(SEARCH("금액입력",M87)))</x:formula>
    </x:cfRule>
  </x:conditionalFormatting>
  <x:conditionalFormatting sqref="M91:S91">
    <x:cfRule type="containsText" dxfId="309" priority="835" operator="containsText" text="금액입력">
      <x:formula>NOT(ISERROR(SEARCH("금액입력",M91)))</x:formula>
    </x:cfRule>
  </x:conditionalFormatting>
  <x:conditionalFormatting sqref="M95:S95">
    <x:cfRule type="containsText" dxfId="308" priority="834" operator="containsText" text="금액입력">
      <x:formula>NOT(ISERROR(SEARCH("금액입력",M95)))</x:formula>
    </x:cfRule>
  </x:conditionalFormatting>
  <x:conditionalFormatting sqref="M99:S99">
    <x:cfRule type="containsText" dxfId="307" priority="833" operator="containsText" text="금액입력">
      <x:formula>NOT(ISERROR(SEARCH("금액입력",M99)))</x:formula>
    </x:cfRule>
  </x:conditionalFormatting>
  <x:conditionalFormatting sqref="M103:S103">
    <x:cfRule type="containsText" dxfId="306" priority="832" operator="containsText" text="금액입력">
      <x:formula>NOT(ISERROR(SEARCH("금액입력",M103)))</x:formula>
    </x:cfRule>
  </x:conditionalFormatting>
  <x:conditionalFormatting sqref="M107:S107">
    <x:cfRule type="containsText" dxfId="305" priority="831" operator="containsText" text="금액입력">
      <x:formula>NOT(ISERROR(SEARCH("금액입력",M107)))</x:formula>
    </x:cfRule>
  </x:conditionalFormatting>
  <x:conditionalFormatting sqref="M123:S123">
    <x:cfRule type="containsText" dxfId="304" priority="830" operator="containsText" text="금액입력">
      <x:formula>NOT(ISERROR(SEARCH("금액입력",M123)))</x:formula>
    </x:cfRule>
  </x:conditionalFormatting>
  <x:conditionalFormatting sqref="O4:O5">
    <x:cfRule type="containsText" dxfId="303" priority="828" operator="containsText" text="금액입력">
      <x:formula>NOT(ISERROR(SEARCH("금액입력",O4)))</x:formula>
    </x:cfRule>
  </x:conditionalFormatting>
  <x:conditionalFormatting sqref="F4:G5">
    <x:cfRule type="containsText" dxfId="302" priority="826" operator="containsText" text="직접입력">
      <x:formula>NOT(ISERROR(SEARCH("직접입력",F4)))</x:formula>
    </x:cfRule>
  </x:conditionalFormatting>
  <x:conditionalFormatting sqref="AC3:AC3">
    <x:cfRule type="containsText" dxfId="301" priority="825" operator="containsText" text="금액입력">
      <x:formula>NOT(ISERROR(SEARCH("금액입력",AC3)))</x:formula>
    </x:cfRule>
  </x:conditionalFormatting>
  <x:conditionalFormatting sqref="AG3:AG3">
    <x:cfRule type="containsText" dxfId="300" priority="824" operator="containsText" text="금액입력">
      <x:formula>NOT(ISERROR(SEARCH("금액입력",AG3)))</x:formula>
    </x:cfRule>
  </x:conditionalFormatting>
  <x:conditionalFormatting sqref="AF11:AF11 AB11:AB11">
    <x:cfRule type="containsText" dxfId="299" priority="823" operator="containsText" text="금액입력">
      <x:formula>NOT(ISERROR(SEARCH("금액입력",AB11)))</x:formula>
    </x:cfRule>
  </x:conditionalFormatting>
  <x:conditionalFormatting sqref="AJ11:AJ11">
    <x:cfRule type="containsText" dxfId="298" priority="822" operator="containsText" text="직접입력">
      <x:formula>NOT(ISERROR(SEARCH("직접입력",AJ11)))</x:formula>
    </x:cfRule>
  </x:conditionalFormatting>
  <x:conditionalFormatting sqref="AF15:AF15 AB15:AB15">
    <x:cfRule type="containsText" dxfId="297" priority="821" operator="containsText" text="금액입력">
      <x:formula>NOT(ISERROR(SEARCH("금액입력",AB15)))</x:formula>
    </x:cfRule>
  </x:conditionalFormatting>
  <x:conditionalFormatting sqref="AJ15:AJ15">
    <x:cfRule type="containsText" dxfId="296" priority="820" operator="containsText" text="직접입력">
      <x:formula>NOT(ISERROR(SEARCH("직접입력",AJ15)))</x:formula>
    </x:cfRule>
  </x:conditionalFormatting>
  <x:conditionalFormatting sqref="AF19:AF19 AB19:AB19">
    <x:cfRule type="containsText" dxfId="295" priority="819" operator="containsText" text="금액입력">
      <x:formula>NOT(ISERROR(SEARCH("금액입력",AB19)))</x:formula>
    </x:cfRule>
  </x:conditionalFormatting>
  <x:conditionalFormatting sqref="AJ19:AJ19">
    <x:cfRule type="containsText" dxfId="294" priority="818" operator="containsText" text="직접입력">
      <x:formula>NOT(ISERROR(SEARCH("직접입력",AJ19)))</x:formula>
    </x:cfRule>
  </x:conditionalFormatting>
  <x:conditionalFormatting sqref="AF23:AF23 AB23:AB23">
    <x:cfRule type="containsText" dxfId="293" priority="817" operator="containsText" text="금액입력">
      <x:formula>NOT(ISERROR(SEARCH("금액입력",AB23)))</x:formula>
    </x:cfRule>
  </x:conditionalFormatting>
  <x:conditionalFormatting sqref="AJ23:AJ23">
    <x:cfRule type="containsText" dxfId="292" priority="816" operator="containsText" text="직접입력">
      <x:formula>NOT(ISERROR(SEARCH("직접입력",AJ23)))</x:formula>
    </x:cfRule>
  </x:conditionalFormatting>
  <x:conditionalFormatting sqref="AF27:AF27 AB27:AB27">
    <x:cfRule type="containsText" dxfId="291" priority="815" operator="containsText" text="금액입력">
      <x:formula>NOT(ISERROR(SEARCH("금액입력",AB27)))</x:formula>
    </x:cfRule>
  </x:conditionalFormatting>
  <x:conditionalFormatting sqref="AJ27:AJ27">
    <x:cfRule type="containsText" dxfId="290" priority="814" operator="containsText" text="직접입력">
      <x:formula>NOT(ISERROR(SEARCH("직접입력",AJ27)))</x:formula>
    </x:cfRule>
  </x:conditionalFormatting>
  <x:conditionalFormatting sqref="AF31:AF31 AB31:AB31">
    <x:cfRule type="containsText" dxfId="289" priority="813" operator="containsText" text="금액입력">
      <x:formula>NOT(ISERROR(SEARCH("금액입력",AB31)))</x:formula>
    </x:cfRule>
  </x:conditionalFormatting>
  <x:conditionalFormatting sqref="AJ31:AJ31">
    <x:cfRule type="containsText" dxfId="288" priority="812" operator="containsText" text="직접입력">
      <x:formula>NOT(ISERROR(SEARCH("직접입력",AJ31)))</x:formula>
    </x:cfRule>
  </x:conditionalFormatting>
  <x:conditionalFormatting sqref="AF35:AF35 AB35:AB35">
    <x:cfRule type="containsText" dxfId="287" priority="811" operator="containsText" text="금액입력">
      <x:formula>NOT(ISERROR(SEARCH("금액입력",AB35)))</x:formula>
    </x:cfRule>
  </x:conditionalFormatting>
  <x:conditionalFormatting sqref="AJ35:AJ35">
    <x:cfRule type="containsText" dxfId="286" priority="810" operator="containsText" text="직접입력">
      <x:formula>NOT(ISERROR(SEARCH("직접입력",AJ35)))</x:formula>
    </x:cfRule>
  </x:conditionalFormatting>
  <x:conditionalFormatting sqref="AF39:AF39 AB39:AB39">
    <x:cfRule type="containsText" dxfId="285" priority="809" operator="containsText" text="금액입력">
      <x:formula>NOT(ISERROR(SEARCH("금액입력",AB39)))</x:formula>
    </x:cfRule>
  </x:conditionalFormatting>
  <x:conditionalFormatting sqref="AJ39:AJ39">
    <x:cfRule type="containsText" dxfId="284" priority="808" operator="containsText" text="직접입력">
      <x:formula>NOT(ISERROR(SEARCH("직접입력",AJ39)))</x:formula>
    </x:cfRule>
  </x:conditionalFormatting>
  <x:conditionalFormatting sqref="AF43:AF43 AB43:AB43">
    <x:cfRule type="containsText" dxfId="283" priority="807" operator="containsText" text="금액입력">
      <x:formula>NOT(ISERROR(SEARCH("금액입력",AB43)))</x:formula>
    </x:cfRule>
  </x:conditionalFormatting>
  <x:conditionalFormatting sqref="AJ43:AJ43">
    <x:cfRule type="containsText" dxfId="282" priority="806" operator="containsText" text="직접입력">
      <x:formula>NOT(ISERROR(SEARCH("직접입력",AJ43)))</x:formula>
    </x:cfRule>
  </x:conditionalFormatting>
  <x:conditionalFormatting sqref="AF47:AF47 AB47:AB47">
    <x:cfRule type="containsText" dxfId="281" priority="805" operator="containsText" text="금액입력">
      <x:formula>NOT(ISERROR(SEARCH("금액입력",AB47)))</x:formula>
    </x:cfRule>
  </x:conditionalFormatting>
  <x:conditionalFormatting sqref="AJ47:AJ47">
    <x:cfRule type="containsText" dxfId="280" priority="804" operator="containsText" text="직접입력">
      <x:formula>NOT(ISERROR(SEARCH("직접입력",AJ47)))</x:formula>
    </x:cfRule>
  </x:conditionalFormatting>
  <x:conditionalFormatting sqref="AF51:AF51 AB51:AB51">
    <x:cfRule type="containsText" dxfId="279" priority="803" operator="containsText" text="금액입력">
      <x:formula>NOT(ISERROR(SEARCH("금액입력",AB51)))</x:formula>
    </x:cfRule>
  </x:conditionalFormatting>
  <x:conditionalFormatting sqref="AJ51:AJ51">
    <x:cfRule type="containsText" dxfId="278" priority="802" operator="containsText" text="직접입력">
      <x:formula>NOT(ISERROR(SEARCH("직접입력",AJ51)))</x:formula>
    </x:cfRule>
  </x:conditionalFormatting>
  <x:conditionalFormatting sqref="AF55:AF55 AB55:AB55">
    <x:cfRule type="containsText" dxfId="277" priority="801" operator="containsText" text="금액입력">
      <x:formula>NOT(ISERROR(SEARCH("금액입력",AB55)))</x:formula>
    </x:cfRule>
  </x:conditionalFormatting>
  <x:conditionalFormatting sqref="AJ55:AJ55">
    <x:cfRule type="containsText" dxfId="276" priority="800" operator="containsText" text="직접입력">
      <x:formula>NOT(ISERROR(SEARCH("직접입력",AJ55)))</x:formula>
    </x:cfRule>
  </x:conditionalFormatting>
  <x:conditionalFormatting sqref="AF59:AF59 AB59:AB59">
    <x:cfRule type="containsText" dxfId="275" priority="799" operator="containsText" text="금액입력">
      <x:formula>NOT(ISERROR(SEARCH("금액입력",AB59)))</x:formula>
    </x:cfRule>
  </x:conditionalFormatting>
  <x:conditionalFormatting sqref="AJ59:AJ59">
    <x:cfRule type="containsText" dxfId="274" priority="798" operator="containsText" text="직접입력">
      <x:formula>NOT(ISERROR(SEARCH("직접입력",AJ59)))</x:formula>
    </x:cfRule>
  </x:conditionalFormatting>
  <x:conditionalFormatting sqref="AF63:AF63 AB63:AB63">
    <x:cfRule type="containsText" dxfId="273" priority="797" operator="containsText" text="금액입력">
      <x:formula>NOT(ISERROR(SEARCH("금액입력",AB63)))</x:formula>
    </x:cfRule>
  </x:conditionalFormatting>
  <x:conditionalFormatting sqref="AJ63:AJ63">
    <x:cfRule type="containsText" dxfId="272" priority="796" operator="containsText" text="직접입력">
      <x:formula>NOT(ISERROR(SEARCH("직접입력",AJ63)))</x:formula>
    </x:cfRule>
  </x:conditionalFormatting>
  <x:conditionalFormatting sqref="AF67:AF67 AB67:AB67">
    <x:cfRule type="containsText" dxfId="271" priority="795" operator="containsText" text="금액입력">
      <x:formula>NOT(ISERROR(SEARCH("금액입력",AB67)))</x:formula>
    </x:cfRule>
  </x:conditionalFormatting>
  <x:conditionalFormatting sqref="AJ67:AJ67">
    <x:cfRule type="containsText" dxfId="270" priority="794" operator="containsText" text="직접입력">
      <x:formula>NOT(ISERROR(SEARCH("직접입력",AJ67)))</x:formula>
    </x:cfRule>
  </x:conditionalFormatting>
  <x:conditionalFormatting sqref="AF71:AF71 AB71:AB71">
    <x:cfRule type="containsText" dxfId="269" priority="793" operator="containsText" text="금액입력">
      <x:formula>NOT(ISERROR(SEARCH("금액입력",AB71)))</x:formula>
    </x:cfRule>
  </x:conditionalFormatting>
  <x:conditionalFormatting sqref="AJ71:AJ71">
    <x:cfRule type="containsText" dxfId="268" priority="792" operator="containsText" text="직접입력">
      <x:formula>NOT(ISERROR(SEARCH("직접입력",AJ71)))</x:formula>
    </x:cfRule>
  </x:conditionalFormatting>
  <x:conditionalFormatting sqref="AF75:AF75 AB75:AB75">
    <x:cfRule type="containsText" dxfId="267" priority="791" operator="containsText" text="금액입력">
      <x:formula>NOT(ISERROR(SEARCH("금액입력",AB75)))</x:formula>
    </x:cfRule>
  </x:conditionalFormatting>
  <x:conditionalFormatting sqref="AJ75:AJ75">
    <x:cfRule type="containsText" dxfId="266" priority="790" operator="containsText" text="직접입력">
      <x:formula>NOT(ISERROR(SEARCH("직접입력",AJ75)))</x:formula>
    </x:cfRule>
  </x:conditionalFormatting>
  <x:conditionalFormatting sqref="AF79:AF79 AB79:AB79">
    <x:cfRule type="containsText" dxfId="265" priority="789" operator="containsText" text="금액입력">
      <x:formula>NOT(ISERROR(SEARCH("금액입력",AB79)))</x:formula>
    </x:cfRule>
  </x:conditionalFormatting>
  <x:conditionalFormatting sqref="AJ79:AJ79">
    <x:cfRule type="containsText" dxfId="264" priority="788" operator="containsText" text="직접입력">
      <x:formula>NOT(ISERROR(SEARCH("직접입력",AJ79)))</x:formula>
    </x:cfRule>
  </x:conditionalFormatting>
  <x:conditionalFormatting sqref="AF83:AF83 AB83:AB83">
    <x:cfRule type="containsText" dxfId="263" priority="787" operator="containsText" text="금액입력">
      <x:formula>NOT(ISERROR(SEARCH("금액입력",AB83)))</x:formula>
    </x:cfRule>
  </x:conditionalFormatting>
  <x:conditionalFormatting sqref="AJ83:AJ83">
    <x:cfRule type="containsText" dxfId="262" priority="786" operator="containsText" text="직접입력">
      <x:formula>NOT(ISERROR(SEARCH("직접입력",AJ83)))</x:formula>
    </x:cfRule>
  </x:conditionalFormatting>
  <x:conditionalFormatting sqref="AF87:AF87 AB87:AB87">
    <x:cfRule type="containsText" dxfId="261" priority="785" operator="containsText" text="금액입력">
      <x:formula>NOT(ISERROR(SEARCH("금액입력",AB87)))</x:formula>
    </x:cfRule>
  </x:conditionalFormatting>
  <x:conditionalFormatting sqref="AJ87:AJ87">
    <x:cfRule type="containsText" dxfId="260" priority="784" operator="containsText" text="직접입력">
      <x:formula>NOT(ISERROR(SEARCH("직접입력",AJ87)))</x:formula>
    </x:cfRule>
  </x:conditionalFormatting>
  <x:conditionalFormatting sqref="AF91:AF91 AB91:AB91">
    <x:cfRule type="containsText" dxfId="259" priority="783" operator="containsText" text="금액입력">
      <x:formula>NOT(ISERROR(SEARCH("금액입력",AB91)))</x:formula>
    </x:cfRule>
  </x:conditionalFormatting>
  <x:conditionalFormatting sqref="AJ91:AJ91">
    <x:cfRule type="containsText" dxfId="258" priority="782" operator="containsText" text="직접입력">
      <x:formula>NOT(ISERROR(SEARCH("직접입력",AJ91)))</x:formula>
    </x:cfRule>
  </x:conditionalFormatting>
  <x:conditionalFormatting sqref="AF95:AF95 AB95:AB95">
    <x:cfRule type="containsText" dxfId="257" priority="781" operator="containsText" text="금액입력">
      <x:formula>NOT(ISERROR(SEARCH("금액입력",AB95)))</x:formula>
    </x:cfRule>
  </x:conditionalFormatting>
  <x:conditionalFormatting sqref="AJ95:AJ95">
    <x:cfRule type="containsText" dxfId="256" priority="780" operator="containsText" text="직접입력">
      <x:formula>NOT(ISERROR(SEARCH("직접입력",AJ95)))</x:formula>
    </x:cfRule>
  </x:conditionalFormatting>
  <x:conditionalFormatting sqref="AF99:AF99 AB99:AB99">
    <x:cfRule type="containsText" dxfId="255" priority="779" operator="containsText" text="금액입력">
      <x:formula>NOT(ISERROR(SEARCH("금액입력",AB99)))</x:formula>
    </x:cfRule>
  </x:conditionalFormatting>
  <x:conditionalFormatting sqref="AJ99:AJ99">
    <x:cfRule type="containsText" dxfId="254" priority="778" operator="containsText" text="직접입력">
      <x:formula>NOT(ISERROR(SEARCH("직접입력",AJ99)))</x:formula>
    </x:cfRule>
  </x:conditionalFormatting>
  <x:conditionalFormatting sqref="AF103:AF103 AB103:AB103">
    <x:cfRule type="containsText" dxfId="253" priority="777" operator="containsText" text="금액입력">
      <x:formula>NOT(ISERROR(SEARCH("금액입력",AB103)))</x:formula>
    </x:cfRule>
  </x:conditionalFormatting>
  <x:conditionalFormatting sqref="AJ103:AJ103">
    <x:cfRule type="containsText" dxfId="252" priority="776" operator="containsText" text="직접입력">
      <x:formula>NOT(ISERROR(SEARCH("직접입력",AJ103)))</x:formula>
    </x:cfRule>
  </x:conditionalFormatting>
  <x:conditionalFormatting sqref="AF107:AF107 AB107:AB107">
    <x:cfRule type="containsText" dxfId="251" priority="775" operator="containsText" text="금액입력">
      <x:formula>NOT(ISERROR(SEARCH("금액입력",AB107)))</x:formula>
    </x:cfRule>
  </x:conditionalFormatting>
  <x:conditionalFormatting sqref="AJ107:AJ107">
    <x:cfRule type="containsText" dxfId="250" priority="774" operator="containsText" text="직접입력">
      <x:formula>NOT(ISERROR(SEARCH("직접입력",AJ107)))</x:formula>
    </x:cfRule>
  </x:conditionalFormatting>
  <x:conditionalFormatting sqref="AF123:AF123 AB123:AB123">
    <x:cfRule type="containsText" dxfId="249" priority="773" operator="containsText" text="금액입력">
      <x:formula>NOT(ISERROR(SEARCH("금액입력",AB123)))</x:formula>
    </x:cfRule>
  </x:conditionalFormatting>
  <x:conditionalFormatting sqref="AJ123:AJ123">
    <x:cfRule type="containsText" dxfId="248" priority="772" operator="containsText" text="직접입력">
      <x:formula>NOT(ISERROR(SEARCH("직접입력",AJ123)))</x:formula>
    </x:cfRule>
  </x:conditionalFormatting>
  <x:conditionalFormatting sqref="F111:G111">
    <x:cfRule type="containsText" dxfId="247" priority="770" operator="containsText" text="직접입력">
      <x:formula>NOT(ISERROR(SEARCH("직접입력",F111)))</x:formula>
    </x:cfRule>
  </x:conditionalFormatting>
  <x:conditionalFormatting sqref="K111:K111">
    <x:cfRule type="containsText" dxfId="246" priority="769" operator="containsText" text="세부사업명 입력">
      <x:formula>NOT(ISERROR(SEARCH("세부사업명 입력",K111)))</x:formula>
    </x:cfRule>
  </x:conditionalFormatting>
  <x:conditionalFormatting sqref="L111:L111">
    <x:cfRule type="containsText" dxfId="245" priority="768" operator="containsText" text="부기명 입력">
      <x:formula>NOT(ISERROR(SEARCH("부기명 입력",L111)))</x:formula>
    </x:cfRule>
  </x:conditionalFormatting>
  <x:conditionalFormatting sqref="M111:S111">
    <x:cfRule type="containsText" dxfId="244" priority="762" operator="containsText" text="금액입력">
      <x:formula>NOT(ISERROR(SEARCH("금액입력",M111)))</x:formula>
    </x:cfRule>
  </x:conditionalFormatting>
  <x:conditionalFormatting sqref="AF111:AF111 AB111:AB111">
    <x:cfRule type="containsText" dxfId="243" priority="761" operator="containsText" text="금액입력">
      <x:formula>NOT(ISERROR(SEARCH("금액입력",AB111)))</x:formula>
    </x:cfRule>
  </x:conditionalFormatting>
  <x:conditionalFormatting sqref="AJ111:AJ111">
    <x:cfRule type="containsText" dxfId="242" priority="760" operator="containsText" text="직접입력">
      <x:formula>NOT(ISERROR(SEARCH("직접입력",AJ111)))</x:formula>
    </x:cfRule>
  </x:conditionalFormatting>
  <x:conditionalFormatting sqref="M4:N5">
    <x:cfRule type="containsText" dxfId="241" priority="759" operator="containsText" text="금액입력">
      <x:formula>NOT(ISERROR(SEARCH("금액입력",M4)))</x:formula>
    </x:cfRule>
  </x:conditionalFormatting>
  <x:conditionalFormatting sqref="F119:G119">
    <x:cfRule type="containsText" dxfId="240" priority="594" operator="containsText" text="직접입력">
      <x:formula>NOT(ISERROR(SEARCH("직접입력",F119)))</x:formula>
    </x:cfRule>
  </x:conditionalFormatting>
  <x:conditionalFormatting sqref="K119:K119">
    <x:cfRule type="containsText" dxfId="239" priority="593" operator="containsText" text="세부사업명 입력">
      <x:formula>NOT(ISERROR(SEARCH("세부사업명 입력",K119)))</x:formula>
    </x:cfRule>
  </x:conditionalFormatting>
  <x:conditionalFormatting sqref="L119:L119">
    <x:cfRule type="containsText" dxfId="238" priority="592" operator="containsText" text="부기명 입력">
      <x:formula>NOT(ISERROR(SEARCH("부기명 입력",L119)))</x:formula>
    </x:cfRule>
  </x:conditionalFormatting>
  <x:conditionalFormatting sqref="M119:S119">
    <x:cfRule type="containsText" dxfId="237" priority="586" operator="containsText" text="금액입력">
      <x:formula>NOT(ISERROR(SEARCH("금액입력",M119)))</x:formula>
    </x:cfRule>
  </x:conditionalFormatting>
  <x:conditionalFormatting sqref="AF119:AF119 AB119:AB119">
    <x:cfRule type="containsText" dxfId="236" priority="585" operator="containsText" text="금액입력">
      <x:formula>NOT(ISERROR(SEARCH("금액입력",AB119)))</x:formula>
    </x:cfRule>
  </x:conditionalFormatting>
  <x:conditionalFormatting sqref="AJ119:AJ119">
    <x:cfRule type="containsText" dxfId="235" priority="584" operator="containsText" text="직접입력">
      <x:formula>NOT(ISERROR(SEARCH("직접입력",AJ119)))</x:formula>
    </x:cfRule>
  </x:conditionalFormatting>
  <x:conditionalFormatting sqref="F115:G115">
    <x:cfRule type="containsText" dxfId="234" priority="579" operator="containsText" text="직접입력">
      <x:formula>NOT(ISERROR(SEARCH("직접입력",F115)))</x:formula>
    </x:cfRule>
  </x:conditionalFormatting>
  <x:conditionalFormatting sqref="K115:K115">
    <x:cfRule type="containsText" dxfId="233" priority="578" operator="containsText" text="세부사업명 입력">
      <x:formula>NOT(ISERROR(SEARCH("세부사업명 입력",K115)))</x:formula>
    </x:cfRule>
  </x:conditionalFormatting>
  <x:conditionalFormatting sqref="L115:L115">
    <x:cfRule type="containsText" dxfId="232" priority="577" operator="containsText" text="부기명 입력">
      <x:formula>NOT(ISERROR(SEARCH("부기명 입력",L115)))</x:formula>
    </x:cfRule>
  </x:conditionalFormatting>
  <x:conditionalFormatting sqref="M115:S115">
    <x:cfRule type="containsText" dxfId="231" priority="571" operator="containsText" text="금액입력">
      <x:formula>NOT(ISERROR(SEARCH("금액입력",M115)))</x:formula>
    </x:cfRule>
  </x:conditionalFormatting>
  <x:conditionalFormatting sqref="AF115:AF115 AB115:AB115">
    <x:cfRule type="containsText" dxfId="230" priority="570" operator="containsText" text="금액입력">
      <x:formula>NOT(ISERROR(SEARCH("금액입력",AB115)))</x:formula>
    </x:cfRule>
  </x:conditionalFormatting>
  <x:conditionalFormatting sqref="AJ115:AJ115">
    <x:cfRule type="containsText" dxfId="229" priority="569" operator="containsText" text="직접입력">
      <x:formula>NOT(ISERROR(SEARCH("직접입력",AJ115)))</x:formula>
    </x:cfRule>
  </x:conditionalFormatting>
  <x:conditionalFormatting sqref="B8:C10 B12:C14 B16:C18 B20:C22 B24:C26 B28:C30 B32:C34 B36:C38 B40:C42 B44:C46 B48:C50 B52:C54 B56:C58 B60:C62 B64:C66 B68:C70 B72:C74 B76:C78 B80:C82 B84:C86 B88:C90 B92:C94 B96:C98 B100:C102 B104:C106 B108:C110 B112:C114 B116:C118 B120:C122 B124:C126">
    <x:cfRule type="containsText" dxfId="228" priority="566" operator="containsText" text="직접입력">
      <x:formula>NOT(ISERROR(SEARCH("직접입력",B8)))</x:formula>
    </x:cfRule>
  </x:conditionalFormatting>
  <x:conditionalFormatting sqref="F8:G10">
    <x:cfRule type="containsText" dxfId="227" priority="416" operator="containsText" text="직접입력">
      <x:formula>NOT(ISERROR(SEARCH("직접입력",F8)))</x:formula>
    </x:cfRule>
  </x:conditionalFormatting>
  <x:conditionalFormatting sqref="M8:M10">
    <x:cfRule type="containsText" dxfId="226" priority="383" operator="containsText" text="부기명 입력">
      <x:formula>NOT(ISERROR(SEARCH("부기명 입력",M8)))</x:formula>
    </x:cfRule>
  </x:conditionalFormatting>
  <x:conditionalFormatting sqref="M8:M10">
    <x:cfRule type="containsText" dxfId="225" priority="382" operator="containsText" text="금액입력">
      <x:formula>NOT(ISERROR(SEARCH("금액입력",M8)))</x:formula>
    </x:cfRule>
  </x:conditionalFormatting>
  <x:conditionalFormatting sqref="N8:N10">
    <x:cfRule type="containsText" dxfId="224" priority="381" operator="containsText" text="금액입력">
      <x:formula>NOT(ISERROR(SEARCH("금액입력",N8)))</x:formula>
    </x:cfRule>
  </x:conditionalFormatting>
  <x:conditionalFormatting sqref="M8:M10">
    <x:cfRule type="containsText" dxfId="223" priority="380" operator="containsText" text="부기명 입력">
      <x:formula>NOT(ISERROR(SEARCH("부기명 입력",M8)))</x:formula>
    </x:cfRule>
  </x:conditionalFormatting>
  <x:conditionalFormatting sqref="M8:M10">
    <x:cfRule type="containsText" dxfId="222" priority="379" operator="containsText" text="금액입력">
      <x:formula>NOT(ISERROR(SEARCH("금액입력",M8)))</x:formula>
    </x:cfRule>
  </x:conditionalFormatting>
  <x:conditionalFormatting sqref="N8:N10">
    <x:cfRule type="containsText" dxfId="221" priority="378" operator="containsText" text="금액입력">
      <x:formula>NOT(ISERROR(SEARCH("금액입력",N8)))</x:formula>
    </x:cfRule>
  </x:conditionalFormatting>
  <x:conditionalFormatting sqref="F12:G14">
    <x:cfRule type="containsText" dxfId="220" priority="203" operator="containsText" text="직접입력">
      <x:formula>NOT(ISERROR(SEARCH("직접입력",F12)))</x:formula>
    </x:cfRule>
  </x:conditionalFormatting>
  <x:conditionalFormatting sqref="F16:G18">
    <x:cfRule type="containsText" dxfId="219" priority="202" operator="containsText" text="직접입력">
      <x:formula>NOT(ISERROR(SEARCH("직접입력",F16)))</x:formula>
    </x:cfRule>
  </x:conditionalFormatting>
  <x:conditionalFormatting sqref="F20:G22">
    <x:cfRule type="containsText" dxfId="218" priority="201" operator="containsText" text="직접입력">
      <x:formula>NOT(ISERROR(SEARCH("직접입력",F20)))</x:formula>
    </x:cfRule>
  </x:conditionalFormatting>
  <x:conditionalFormatting sqref="F24:G26">
    <x:cfRule type="containsText" dxfId="217" priority="200" operator="containsText" text="직접입력">
      <x:formula>NOT(ISERROR(SEARCH("직접입력",F24)))</x:formula>
    </x:cfRule>
  </x:conditionalFormatting>
  <x:conditionalFormatting sqref="F28:G30">
    <x:cfRule type="containsText" dxfId="216" priority="199" operator="containsText" text="직접입력">
      <x:formula>NOT(ISERROR(SEARCH("직접입력",F28)))</x:formula>
    </x:cfRule>
  </x:conditionalFormatting>
  <x:conditionalFormatting sqref="F32:G34">
    <x:cfRule type="containsText" dxfId="215" priority="198" operator="containsText" text="직접입력">
      <x:formula>NOT(ISERROR(SEARCH("직접입력",F32)))</x:formula>
    </x:cfRule>
  </x:conditionalFormatting>
  <x:conditionalFormatting sqref="F36:G38">
    <x:cfRule type="containsText" dxfId="214" priority="197" operator="containsText" text="직접입력">
      <x:formula>NOT(ISERROR(SEARCH("직접입력",F36)))</x:formula>
    </x:cfRule>
  </x:conditionalFormatting>
  <x:conditionalFormatting sqref="F40:G42">
    <x:cfRule type="containsText" dxfId="213" priority="196" operator="containsText" text="직접입력">
      <x:formula>NOT(ISERROR(SEARCH("직접입력",F40)))</x:formula>
    </x:cfRule>
  </x:conditionalFormatting>
  <x:conditionalFormatting sqref="F44:G46">
    <x:cfRule type="containsText" dxfId="212" priority="195" operator="containsText" text="직접입력">
      <x:formula>NOT(ISERROR(SEARCH("직접입력",F44)))</x:formula>
    </x:cfRule>
  </x:conditionalFormatting>
  <x:conditionalFormatting sqref="F48:G50">
    <x:cfRule type="containsText" dxfId="211" priority="194" operator="containsText" text="직접입력">
      <x:formula>NOT(ISERROR(SEARCH("직접입력",F48)))</x:formula>
    </x:cfRule>
  </x:conditionalFormatting>
  <x:conditionalFormatting sqref="F52:G54">
    <x:cfRule type="containsText" dxfId="210" priority="193" operator="containsText" text="직접입력">
      <x:formula>NOT(ISERROR(SEARCH("직접입력",F52)))</x:formula>
    </x:cfRule>
  </x:conditionalFormatting>
  <x:conditionalFormatting sqref="F56:G58">
    <x:cfRule type="containsText" dxfId="209" priority="192" operator="containsText" text="직접입력">
      <x:formula>NOT(ISERROR(SEARCH("직접입력",F56)))</x:formula>
    </x:cfRule>
  </x:conditionalFormatting>
  <x:conditionalFormatting sqref="F60:G62">
    <x:cfRule type="containsText" dxfId="208" priority="191" operator="containsText" text="직접입력">
      <x:formula>NOT(ISERROR(SEARCH("직접입력",F60)))</x:formula>
    </x:cfRule>
  </x:conditionalFormatting>
  <x:conditionalFormatting sqref="F64:G66">
    <x:cfRule type="containsText" dxfId="207" priority="190" operator="containsText" text="직접입력">
      <x:formula>NOT(ISERROR(SEARCH("직접입력",F64)))</x:formula>
    </x:cfRule>
  </x:conditionalFormatting>
  <x:conditionalFormatting sqref="F68:G70">
    <x:cfRule type="containsText" dxfId="206" priority="189" operator="containsText" text="직접입력">
      <x:formula>NOT(ISERROR(SEARCH("직접입력",F68)))</x:formula>
    </x:cfRule>
  </x:conditionalFormatting>
  <x:conditionalFormatting sqref="F72:G74">
    <x:cfRule type="containsText" dxfId="205" priority="188" operator="containsText" text="직접입력">
      <x:formula>NOT(ISERROR(SEARCH("직접입력",F72)))</x:formula>
    </x:cfRule>
  </x:conditionalFormatting>
  <x:conditionalFormatting sqref="F76:G78">
    <x:cfRule type="containsText" dxfId="204" priority="187" operator="containsText" text="직접입력">
      <x:formula>NOT(ISERROR(SEARCH("직접입력",F76)))</x:formula>
    </x:cfRule>
  </x:conditionalFormatting>
  <x:conditionalFormatting sqref="F80:G82">
    <x:cfRule type="containsText" dxfId="203" priority="186" operator="containsText" text="직접입력">
      <x:formula>NOT(ISERROR(SEARCH("직접입력",F80)))</x:formula>
    </x:cfRule>
  </x:conditionalFormatting>
  <x:conditionalFormatting sqref="F84:G86">
    <x:cfRule type="containsText" dxfId="202" priority="185" operator="containsText" text="직접입력">
      <x:formula>NOT(ISERROR(SEARCH("직접입력",F84)))</x:formula>
    </x:cfRule>
  </x:conditionalFormatting>
  <x:conditionalFormatting sqref="F88:G90">
    <x:cfRule type="containsText" dxfId="201" priority="184" operator="containsText" text="직접입력">
      <x:formula>NOT(ISERROR(SEARCH("직접입력",F88)))</x:formula>
    </x:cfRule>
  </x:conditionalFormatting>
  <x:conditionalFormatting sqref="F92:G94">
    <x:cfRule type="containsText" dxfId="200" priority="183" operator="containsText" text="직접입력">
      <x:formula>NOT(ISERROR(SEARCH("직접입력",F92)))</x:formula>
    </x:cfRule>
  </x:conditionalFormatting>
  <x:conditionalFormatting sqref="F96:G98">
    <x:cfRule type="containsText" dxfId="199" priority="182" operator="containsText" text="직접입력">
      <x:formula>NOT(ISERROR(SEARCH("직접입력",F96)))</x:formula>
    </x:cfRule>
  </x:conditionalFormatting>
  <x:conditionalFormatting sqref="F100:G102">
    <x:cfRule type="containsText" dxfId="198" priority="181" operator="containsText" text="직접입력">
      <x:formula>NOT(ISERROR(SEARCH("직접입력",F100)))</x:formula>
    </x:cfRule>
  </x:conditionalFormatting>
  <x:conditionalFormatting sqref="F104:G106">
    <x:cfRule type="containsText" dxfId="197" priority="180" operator="containsText" text="직접입력">
      <x:formula>NOT(ISERROR(SEARCH("직접입력",F104)))</x:formula>
    </x:cfRule>
  </x:conditionalFormatting>
  <x:conditionalFormatting sqref="F108:G110">
    <x:cfRule type="containsText" dxfId="196" priority="179" operator="containsText" text="직접입력">
      <x:formula>NOT(ISERROR(SEARCH("직접입력",F108)))</x:formula>
    </x:cfRule>
  </x:conditionalFormatting>
  <x:conditionalFormatting sqref="F112:G114">
    <x:cfRule type="containsText" dxfId="195" priority="178" operator="containsText" text="직접입력">
      <x:formula>NOT(ISERROR(SEARCH("직접입력",F112)))</x:formula>
    </x:cfRule>
  </x:conditionalFormatting>
  <x:conditionalFormatting sqref="F116:G118">
    <x:cfRule type="containsText" dxfId="194" priority="177" operator="containsText" text="직접입력">
      <x:formula>NOT(ISERROR(SEARCH("직접입력",F116)))</x:formula>
    </x:cfRule>
  </x:conditionalFormatting>
  <x:conditionalFormatting sqref="F120:G122">
    <x:cfRule type="containsText" dxfId="193" priority="176" operator="containsText" text="직접입력">
      <x:formula>NOT(ISERROR(SEARCH("직접입력",F120)))</x:formula>
    </x:cfRule>
  </x:conditionalFormatting>
  <x:conditionalFormatting sqref="F124:G126">
    <x:cfRule type="containsText" dxfId="192" priority="175" operator="containsText" text="직접입력">
      <x:formula>NOT(ISERROR(SEARCH("직접입력",F124)))</x:formula>
    </x:cfRule>
  </x:conditionalFormatting>
  <x:conditionalFormatting sqref="M12:M14">
    <x:cfRule type="containsText" dxfId="191" priority="174" operator="containsText" text="부기명 입력">
      <x:formula>NOT(ISERROR(SEARCH("부기명 입력",M12)))</x:formula>
    </x:cfRule>
  </x:conditionalFormatting>
  <x:conditionalFormatting sqref="M12:M14">
    <x:cfRule type="containsText" dxfId="190" priority="173" operator="containsText" text="금액입력">
      <x:formula>NOT(ISERROR(SEARCH("금액입력",M12)))</x:formula>
    </x:cfRule>
  </x:conditionalFormatting>
  <x:conditionalFormatting sqref="N12:N14">
    <x:cfRule type="containsText" dxfId="189" priority="172" operator="containsText" text="금액입력">
      <x:formula>NOT(ISERROR(SEARCH("금액입력",N12)))</x:formula>
    </x:cfRule>
  </x:conditionalFormatting>
  <x:conditionalFormatting sqref="M12:M14">
    <x:cfRule type="containsText" dxfId="188" priority="171" operator="containsText" text="부기명 입력">
      <x:formula>NOT(ISERROR(SEARCH("부기명 입력",M12)))</x:formula>
    </x:cfRule>
  </x:conditionalFormatting>
  <x:conditionalFormatting sqref="M12:M14">
    <x:cfRule type="containsText" dxfId="187" priority="170" operator="containsText" text="금액입력">
      <x:formula>NOT(ISERROR(SEARCH("금액입력",M12)))</x:formula>
    </x:cfRule>
  </x:conditionalFormatting>
  <x:conditionalFormatting sqref="N12:N14">
    <x:cfRule type="containsText" dxfId="186" priority="169" operator="containsText" text="금액입력">
      <x:formula>NOT(ISERROR(SEARCH("금액입력",N12)))</x:formula>
    </x:cfRule>
  </x:conditionalFormatting>
  <x:conditionalFormatting sqref="M16:M18">
    <x:cfRule type="containsText" dxfId="185" priority="168" operator="containsText" text="부기명 입력">
      <x:formula>NOT(ISERROR(SEARCH("부기명 입력",M16)))</x:formula>
    </x:cfRule>
  </x:conditionalFormatting>
  <x:conditionalFormatting sqref="M16:M18">
    <x:cfRule type="containsText" dxfId="184" priority="167" operator="containsText" text="금액입력">
      <x:formula>NOT(ISERROR(SEARCH("금액입력",M16)))</x:formula>
    </x:cfRule>
  </x:conditionalFormatting>
  <x:conditionalFormatting sqref="N16:N18">
    <x:cfRule type="containsText" dxfId="183" priority="166" operator="containsText" text="금액입력">
      <x:formula>NOT(ISERROR(SEARCH("금액입력",N16)))</x:formula>
    </x:cfRule>
  </x:conditionalFormatting>
  <x:conditionalFormatting sqref="M16:M18">
    <x:cfRule type="containsText" dxfId="182" priority="165" operator="containsText" text="부기명 입력">
      <x:formula>NOT(ISERROR(SEARCH("부기명 입력",M16)))</x:formula>
    </x:cfRule>
  </x:conditionalFormatting>
  <x:conditionalFormatting sqref="M16:M18">
    <x:cfRule type="containsText" dxfId="181" priority="164" operator="containsText" text="금액입력">
      <x:formula>NOT(ISERROR(SEARCH("금액입력",M16)))</x:formula>
    </x:cfRule>
  </x:conditionalFormatting>
  <x:conditionalFormatting sqref="N16:N18">
    <x:cfRule type="containsText" dxfId="180" priority="163" operator="containsText" text="금액입력">
      <x:formula>NOT(ISERROR(SEARCH("금액입력",N16)))</x:formula>
    </x:cfRule>
  </x:conditionalFormatting>
  <x:conditionalFormatting sqref="M20:M22">
    <x:cfRule type="containsText" dxfId="179" priority="162" operator="containsText" text="부기명 입력">
      <x:formula>NOT(ISERROR(SEARCH("부기명 입력",M20)))</x:formula>
    </x:cfRule>
  </x:conditionalFormatting>
  <x:conditionalFormatting sqref="M20:M22">
    <x:cfRule type="containsText" dxfId="178" priority="161" operator="containsText" text="금액입력">
      <x:formula>NOT(ISERROR(SEARCH("금액입력",M20)))</x:formula>
    </x:cfRule>
  </x:conditionalFormatting>
  <x:conditionalFormatting sqref="N20:N22">
    <x:cfRule type="containsText" dxfId="177" priority="160" operator="containsText" text="금액입력">
      <x:formula>NOT(ISERROR(SEARCH("금액입력",N20)))</x:formula>
    </x:cfRule>
  </x:conditionalFormatting>
  <x:conditionalFormatting sqref="M20:M22">
    <x:cfRule type="containsText" dxfId="176" priority="159" operator="containsText" text="부기명 입력">
      <x:formula>NOT(ISERROR(SEARCH("부기명 입력",M20)))</x:formula>
    </x:cfRule>
  </x:conditionalFormatting>
  <x:conditionalFormatting sqref="M20:M22">
    <x:cfRule type="containsText" dxfId="175" priority="158" operator="containsText" text="금액입력">
      <x:formula>NOT(ISERROR(SEARCH("금액입력",M20)))</x:formula>
    </x:cfRule>
  </x:conditionalFormatting>
  <x:conditionalFormatting sqref="N20:N22">
    <x:cfRule type="containsText" dxfId="174" priority="157" operator="containsText" text="금액입력">
      <x:formula>NOT(ISERROR(SEARCH("금액입력",N20)))</x:formula>
    </x:cfRule>
  </x:conditionalFormatting>
  <x:conditionalFormatting sqref="M24:M26">
    <x:cfRule type="containsText" dxfId="173" priority="156" operator="containsText" text="부기명 입력">
      <x:formula>NOT(ISERROR(SEARCH("부기명 입력",M24)))</x:formula>
    </x:cfRule>
  </x:conditionalFormatting>
  <x:conditionalFormatting sqref="M24:M26">
    <x:cfRule type="containsText" dxfId="172" priority="155" operator="containsText" text="금액입력">
      <x:formula>NOT(ISERROR(SEARCH("금액입력",M24)))</x:formula>
    </x:cfRule>
  </x:conditionalFormatting>
  <x:conditionalFormatting sqref="N24:N26">
    <x:cfRule type="containsText" dxfId="171" priority="154" operator="containsText" text="금액입력">
      <x:formula>NOT(ISERROR(SEARCH("금액입력",N24)))</x:formula>
    </x:cfRule>
  </x:conditionalFormatting>
  <x:conditionalFormatting sqref="M24:M26">
    <x:cfRule type="containsText" dxfId="170" priority="153" operator="containsText" text="부기명 입력">
      <x:formula>NOT(ISERROR(SEARCH("부기명 입력",M24)))</x:formula>
    </x:cfRule>
  </x:conditionalFormatting>
  <x:conditionalFormatting sqref="M24:M26">
    <x:cfRule type="containsText" dxfId="169" priority="152" operator="containsText" text="금액입력">
      <x:formula>NOT(ISERROR(SEARCH("금액입력",M24)))</x:formula>
    </x:cfRule>
  </x:conditionalFormatting>
  <x:conditionalFormatting sqref="N24:N26">
    <x:cfRule type="containsText" dxfId="168" priority="151" operator="containsText" text="금액입력">
      <x:formula>NOT(ISERROR(SEARCH("금액입력",N24)))</x:formula>
    </x:cfRule>
  </x:conditionalFormatting>
  <x:conditionalFormatting sqref="M28:M30">
    <x:cfRule type="containsText" dxfId="167" priority="150" operator="containsText" text="부기명 입력">
      <x:formula>NOT(ISERROR(SEARCH("부기명 입력",M28)))</x:formula>
    </x:cfRule>
  </x:conditionalFormatting>
  <x:conditionalFormatting sqref="M28:M30">
    <x:cfRule type="containsText" dxfId="166" priority="149" operator="containsText" text="금액입력">
      <x:formula>NOT(ISERROR(SEARCH("금액입력",M28)))</x:formula>
    </x:cfRule>
  </x:conditionalFormatting>
  <x:conditionalFormatting sqref="N28:N30">
    <x:cfRule type="containsText" dxfId="165" priority="148" operator="containsText" text="금액입력">
      <x:formula>NOT(ISERROR(SEARCH("금액입력",N28)))</x:formula>
    </x:cfRule>
  </x:conditionalFormatting>
  <x:conditionalFormatting sqref="M28:M30">
    <x:cfRule type="containsText" dxfId="164" priority="147" operator="containsText" text="부기명 입력">
      <x:formula>NOT(ISERROR(SEARCH("부기명 입력",M28)))</x:formula>
    </x:cfRule>
  </x:conditionalFormatting>
  <x:conditionalFormatting sqref="M28:M30">
    <x:cfRule type="containsText" dxfId="163" priority="146" operator="containsText" text="금액입력">
      <x:formula>NOT(ISERROR(SEARCH("금액입력",M28)))</x:formula>
    </x:cfRule>
  </x:conditionalFormatting>
  <x:conditionalFormatting sqref="N28:N30">
    <x:cfRule type="containsText" dxfId="162" priority="145" operator="containsText" text="금액입력">
      <x:formula>NOT(ISERROR(SEARCH("금액입력",N28)))</x:formula>
    </x:cfRule>
  </x:conditionalFormatting>
  <x:conditionalFormatting sqref="M32:M34">
    <x:cfRule type="containsText" dxfId="161" priority="144" operator="containsText" text="부기명 입력">
      <x:formula>NOT(ISERROR(SEARCH("부기명 입력",M32)))</x:formula>
    </x:cfRule>
  </x:conditionalFormatting>
  <x:conditionalFormatting sqref="M32:M34">
    <x:cfRule type="containsText" dxfId="160" priority="143" operator="containsText" text="금액입력">
      <x:formula>NOT(ISERROR(SEARCH("금액입력",M32)))</x:formula>
    </x:cfRule>
  </x:conditionalFormatting>
  <x:conditionalFormatting sqref="N32:N34">
    <x:cfRule type="containsText" dxfId="159" priority="142" operator="containsText" text="금액입력">
      <x:formula>NOT(ISERROR(SEARCH("금액입력",N32)))</x:formula>
    </x:cfRule>
  </x:conditionalFormatting>
  <x:conditionalFormatting sqref="M32:M34">
    <x:cfRule type="containsText" dxfId="158" priority="141" operator="containsText" text="부기명 입력">
      <x:formula>NOT(ISERROR(SEARCH("부기명 입력",M32)))</x:formula>
    </x:cfRule>
  </x:conditionalFormatting>
  <x:conditionalFormatting sqref="M32:M34">
    <x:cfRule type="containsText" dxfId="157" priority="140" operator="containsText" text="금액입력">
      <x:formula>NOT(ISERROR(SEARCH("금액입력",M32)))</x:formula>
    </x:cfRule>
  </x:conditionalFormatting>
  <x:conditionalFormatting sqref="N32:N34">
    <x:cfRule type="containsText" dxfId="156" priority="139" operator="containsText" text="금액입력">
      <x:formula>NOT(ISERROR(SEARCH("금액입력",N32)))</x:formula>
    </x:cfRule>
  </x:conditionalFormatting>
  <x:conditionalFormatting sqref="M36:M38">
    <x:cfRule type="containsText" dxfId="155" priority="138" operator="containsText" text="부기명 입력">
      <x:formula>NOT(ISERROR(SEARCH("부기명 입력",M36)))</x:formula>
    </x:cfRule>
  </x:conditionalFormatting>
  <x:conditionalFormatting sqref="M36:M38">
    <x:cfRule type="containsText" dxfId="154" priority="137" operator="containsText" text="금액입력">
      <x:formula>NOT(ISERROR(SEARCH("금액입력",M36)))</x:formula>
    </x:cfRule>
  </x:conditionalFormatting>
  <x:conditionalFormatting sqref="N36:N38">
    <x:cfRule type="containsText" dxfId="153" priority="136" operator="containsText" text="금액입력">
      <x:formula>NOT(ISERROR(SEARCH("금액입력",N36)))</x:formula>
    </x:cfRule>
  </x:conditionalFormatting>
  <x:conditionalFormatting sqref="M36:M38">
    <x:cfRule type="containsText" dxfId="152" priority="135" operator="containsText" text="부기명 입력">
      <x:formula>NOT(ISERROR(SEARCH("부기명 입력",M36)))</x:formula>
    </x:cfRule>
  </x:conditionalFormatting>
  <x:conditionalFormatting sqref="M36:M38">
    <x:cfRule type="containsText" dxfId="151" priority="134" operator="containsText" text="금액입력">
      <x:formula>NOT(ISERROR(SEARCH("금액입력",M36)))</x:formula>
    </x:cfRule>
  </x:conditionalFormatting>
  <x:conditionalFormatting sqref="N36:N38">
    <x:cfRule type="containsText" dxfId="150" priority="133" operator="containsText" text="금액입력">
      <x:formula>NOT(ISERROR(SEARCH("금액입력",N36)))</x:formula>
    </x:cfRule>
  </x:conditionalFormatting>
  <x:conditionalFormatting sqref="M40:M42">
    <x:cfRule type="containsText" dxfId="149" priority="132" operator="containsText" text="부기명 입력">
      <x:formula>NOT(ISERROR(SEARCH("부기명 입력",M40)))</x:formula>
    </x:cfRule>
  </x:conditionalFormatting>
  <x:conditionalFormatting sqref="M40:M42">
    <x:cfRule type="containsText" dxfId="148" priority="131" operator="containsText" text="금액입력">
      <x:formula>NOT(ISERROR(SEARCH("금액입력",M40)))</x:formula>
    </x:cfRule>
  </x:conditionalFormatting>
  <x:conditionalFormatting sqref="N40:N42">
    <x:cfRule type="containsText" dxfId="147" priority="130" operator="containsText" text="금액입력">
      <x:formula>NOT(ISERROR(SEARCH("금액입력",N40)))</x:formula>
    </x:cfRule>
  </x:conditionalFormatting>
  <x:conditionalFormatting sqref="M40:M42">
    <x:cfRule type="containsText" dxfId="146" priority="129" operator="containsText" text="부기명 입력">
      <x:formula>NOT(ISERROR(SEARCH("부기명 입력",M40)))</x:formula>
    </x:cfRule>
  </x:conditionalFormatting>
  <x:conditionalFormatting sqref="M40:M42">
    <x:cfRule type="containsText" dxfId="145" priority="128" operator="containsText" text="금액입력">
      <x:formula>NOT(ISERROR(SEARCH("금액입력",M40)))</x:formula>
    </x:cfRule>
  </x:conditionalFormatting>
  <x:conditionalFormatting sqref="N40:N42">
    <x:cfRule type="containsText" dxfId="144" priority="127" operator="containsText" text="금액입력">
      <x:formula>NOT(ISERROR(SEARCH("금액입력",N40)))</x:formula>
    </x:cfRule>
  </x:conditionalFormatting>
  <x:conditionalFormatting sqref="M44:M46">
    <x:cfRule type="containsText" dxfId="143" priority="126" operator="containsText" text="부기명 입력">
      <x:formula>NOT(ISERROR(SEARCH("부기명 입력",M44)))</x:formula>
    </x:cfRule>
  </x:conditionalFormatting>
  <x:conditionalFormatting sqref="M44:M46">
    <x:cfRule type="containsText" dxfId="142" priority="125" operator="containsText" text="금액입력">
      <x:formula>NOT(ISERROR(SEARCH("금액입력",M44)))</x:formula>
    </x:cfRule>
  </x:conditionalFormatting>
  <x:conditionalFormatting sqref="N44:N46">
    <x:cfRule type="containsText" dxfId="141" priority="124" operator="containsText" text="금액입력">
      <x:formula>NOT(ISERROR(SEARCH("금액입력",N44)))</x:formula>
    </x:cfRule>
  </x:conditionalFormatting>
  <x:conditionalFormatting sqref="M44:M46">
    <x:cfRule type="containsText" dxfId="140" priority="123" operator="containsText" text="부기명 입력">
      <x:formula>NOT(ISERROR(SEARCH("부기명 입력",M44)))</x:formula>
    </x:cfRule>
  </x:conditionalFormatting>
  <x:conditionalFormatting sqref="M44:M46">
    <x:cfRule type="containsText" dxfId="139" priority="122" operator="containsText" text="금액입력">
      <x:formula>NOT(ISERROR(SEARCH("금액입력",M44)))</x:formula>
    </x:cfRule>
  </x:conditionalFormatting>
  <x:conditionalFormatting sqref="N44:N46">
    <x:cfRule type="containsText" dxfId="138" priority="121" operator="containsText" text="금액입력">
      <x:formula>NOT(ISERROR(SEARCH("금액입력",N44)))</x:formula>
    </x:cfRule>
  </x:conditionalFormatting>
  <x:conditionalFormatting sqref="M48:M50">
    <x:cfRule type="containsText" dxfId="137" priority="120" operator="containsText" text="부기명 입력">
      <x:formula>NOT(ISERROR(SEARCH("부기명 입력",M48)))</x:formula>
    </x:cfRule>
  </x:conditionalFormatting>
  <x:conditionalFormatting sqref="M48:M50">
    <x:cfRule type="containsText" dxfId="136" priority="119" operator="containsText" text="금액입력">
      <x:formula>NOT(ISERROR(SEARCH("금액입력",M48)))</x:formula>
    </x:cfRule>
  </x:conditionalFormatting>
  <x:conditionalFormatting sqref="N48:N50">
    <x:cfRule type="containsText" dxfId="135" priority="118" operator="containsText" text="금액입력">
      <x:formula>NOT(ISERROR(SEARCH("금액입력",N48)))</x:formula>
    </x:cfRule>
  </x:conditionalFormatting>
  <x:conditionalFormatting sqref="M48:M50">
    <x:cfRule type="containsText" dxfId="134" priority="117" operator="containsText" text="부기명 입력">
      <x:formula>NOT(ISERROR(SEARCH("부기명 입력",M48)))</x:formula>
    </x:cfRule>
  </x:conditionalFormatting>
  <x:conditionalFormatting sqref="M48:M50">
    <x:cfRule type="containsText" dxfId="133" priority="116" operator="containsText" text="금액입력">
      <x:formula>NOT(ISERROR(SEARCH("금액입력",M48)))</x:formula>
    </x:cfRule>
  </x:conditionalFormatting>
  <x:conditionalFormatting sqref="N48:N50">
    <x:cfRule type="containsText" dxfId="132" priority="115" operator="containsText" text="금액입력">
      <x:formula>NOT(ISERROR(SEARCH("금액입력",N48)))</x:formula>
    </x:cfRule>
  </x:conditionalFormatting>
  <x:conditionalFormatting sqref="M52:M54">
    <x:cfRule type="containsText" dxfId="131" priority="114" operator="containsText" text="부기명 입력">
      <x:formula>NOT(ISERROR(SEARCH("부기명 입력",M52)))</x:formula>
    </x:cfRule>
  </x:conditionalFormatting>
  <x:conditionalFormatting sqref="M52:M54">
    <x:cfRule type="containsText" dxfId="130" priority="113" operator="containsText" text="금액입력">
      <x:formula>NOT(ISERROR(SEARCH("금액입력",M52)))</x:formula>
    </x:cfRule>
  </x:conditionalFormatting>
  <x:conditionalFormatting sqref="N52:N54">
    <x:cfRule type="containsText" dxfId="129" priority="112" operator="containsText" text="금액입력">
      <x:formula>NOT(ISERROR(SEARCH("금액입력",N52)))</x:formula>
    </x:cfRule>
  </x:conditionalFormatting>
  <x:conditionalFormatting sqref="M52:M54">
    <x:cfRule type="containsText" dxfId="128" priority="111" operator="containsText" text="부기명 입력">
      <x:formula>NOT(ISERROR(SEARCH("부기명 입력",M52)))</x:formula>
    </x:cfRule>
  </x:conditionalFormatting>
  <x:conditionalFormatting sqref="M52:M54">
    <x:cfRule type="containsText" dxfId="127" priority="110" operator="containsText" text="금액입력">
      <x:formula>NOT(ISERROR(SEARCH("금액입력",M52)))</x:formula>
    </x:cfRule>
  </x:conditionalFormatting>
  <x:conditionalFormatting sqref="N52:N54">
    <x:cfRule type="containsText" dxfId="126" priority="109" operator="containsText" text="금액입력">
      <x:formula>NOT(ISERROR(SEARCH("금액입력",N52)))</x:formula>
    </x:cfRule>
  </x:conditionalFormatting>
  <x:conditionalFormatting sqref="M56:M58">
    <x:cfRule type="containsText" dxfId="125" priority="108" operator="containsText" text="부기명 입력">
      <x:formula>NOT(ISERROR(SEARCH("부기명 입력",M56)))</x:formula>
    </x:cfRule>
  </x:conditionalFormatting>
  <x:conditionalFormatting sqref="M56:M58">
    <x:cfRule type="containsText" dxfId="124" priority="107" operator="containsText" text="금액입력">
      <x:formula>NOT(ISERROR(SEARCH("금액입력",M56)))</x:formula>
    </x:cfRule>
  </x:conditionalFormatting>
  <x:conditionalFormatting sqref="N56:N58">
    <x:cfRule type="containsText" dxfId="123" priority="106" operator="containsText" text="금액입력">
      <x:formula>NOT(ISERROR(SEARCH("금액입력",N56)))</x:formula>
    </x:cfRule>
  </x:conditionalFormatting>
  <x:conditionalFormatting sqref="M56:M58">
    <x:cfRule type="containsText" dxfId="122" priority="105" operator="containsText" text="부기명 입력">
      <x:formula>NOT(ISERROR(SEARCH("부기명 입력",M56)))</x:formula>
    </x:cfRule>
  </x:conditionalFormatting>
  <x:conditionalFormatting sqref="M56:M58">
    <x:cfRule type="containsText" dxfId="121" priority="104" operator="containsText" text="금액입력">
      <x:formula>NOT(ISERROR(SEARCH("금액입력",M56)))</x:formula>
    </x:cfRule>
  </x:conditionalFormatting>
  <x:conditionalFormatting sqref="N56:N58">
    <x:cfRule type="containsText" dxfId="120" priority="103" operator="containsText" text="금액입력">
      <x:formula>NOT(ISERROR(SEARCH("금액입력",N56)))</x:formula>
    </x:cfRule>
  </x:conditionalFormatting>
  <x:conditionalFormatting sqref="M60:M62">
    <x:cfRule type="containsText" dxfId="119" priority="102" operator="containsText" text="부기명 입력">
      <x:formula>NOT(ISERROR(SEARCH("부기명 입력",M60)))</x:formula>
    </x:cfRule>
  </x:conditionalFormatting>
  <x:conditionalFormatting sqref="M60:M62">
    <x:cfRule type="containsText" dxfId="118" priority="101" operator="containsText" text="금액입력">
      <x:formula>NOT(ISERROR(SEARCH("금액입력",M60)))</x:formula>
    </x:cfRule>
  </x:conditionalFormatting>
  <x:conditionalFormatting sqref="N60:N62">
    <x:cfRule type="containsText" dxfId="117" priority="100" operator="containsText" text="금액입력">
      <x:formula>NOT(ISERROR(SEARCH("금액입력",N60)))</x:formula>
    </x:cfRule>
  </x:conditionalFormatting>
  <x:conditionalFormatting sqref="M60:M62">
    <x:cfRule type="containsText" dxfId="116" priority="99" operator="containsText" text="부기명 입력">
      <x:formula>NOT(ISERROR(SEARCH("부기명 입력",M60)))</x:formula>
    </x:cfRule>
  </x:conditionalFormatting>
  <x:conditionalFormatting sqref="M60:M62">
    <x:cfRule type="containsText" dxfId="115" priority="98" operator="containsText" text="금액입력">
      <x:formula>NOT(ISERROR(SEARCH("금액입력",M60)))</x:formula>
    </x:cfRule>
  </x:conditionalFormatting>
  <x:conditionalFormatting sqref="N60:N62">
    <x:cfRule type="containsText" dxfId="114" priority="97" operator="containsText" text="금액입력">
      <x:formula>NOT(ISERROR(SEARCH("금액입력",N60)))</x:formula>
    </x:cfRule>
  </x:conditionalFormatting>
  <x:conditionalFormatting sqref="M64:M66">
    <x:cfRule type="containsText" dxfId="113" priority="96" operator="containsText" text="부기명 입력">
      <x:formula>NOT(ISERROR(SEARCH("부기명 입력",M64)))</x:formula>
    </x:cfRule>
  </x:conditionalFormatting>
  <x:conditionalFormatting sqref="M64:M66">
    <x:cfRule type="containsText" dxfId="112" priority="95" operator="containsText" text="금액입력">
      <x:formula>NOT(ISERROR(SEARCH("금액입력",M64)))</x:formula>
    </x:cfRule>
  </x:conditionalFormatting>
  <x:conditionalFormatting sqref="N64:N66">
    <x:cfRule type="containsText" dxfId="111" priority="94" operator="containsText" text="금액입력">
      <x:formula>NOT(ISERROR(SEARCH("금액입력",N64)))</x:formula>
    </x:cfRule>
  </x:conditionalFormatting>
  <x:conditionalFormatting sqref="M64:M66">
    <x:cfRule type="containsText" dxfId="110" priority="93" operator="containsText" text="부기명 입력">
      <x:formula>NOT(ISERROR(SEARCH("부기명 입력",M64)))</x:formula>
    </x:cfRule>
  </x:conditionalFormatting>
  <x:conditionalFormatting sqref="M64:M66">
    <x:cfRule type="containsText" dxfId="109" priority="92" operator="containsText" text="금액입력">
      <x:formula>NOT(ISERROR(SEARCH("금액입력",M64)))</x:formula>
    </x:cfRule>
  </x:conditionalFormatting>
  <x:conditionalFormatting sqref="N64:N66">
    <x:cfRule type="containsText" dxfId="108" priority="91" operator="containsText" text="금액입력">
      <x:formula>NOT(ISERROR(SEARCH("금액입력",N64)))</x:formula>
    </x:cfRule>
  </x:conditionalFormatting>
  <x:conditionalFormatting sqref="M68:M70">
    <x:cfRule type="containsText" dxfId="107" priority="90" operator="containsText" text="부기명 입력">
      <x:formula>NOT(ISERROR(SEARCH("부기명 입력",M68)))</x:formula>
    </x:cfRule>
  </x:conditionalFormatting>
  <x:conditionalFormatting sqref="M68:M70">
    <x:cfRule type="containsText" dxfId="106" priority="89" operator="containsText" text="금액입력">
      <x:formula>NOT(ISERROR(SEARCH("금액입력",M68)))</x:formula>
    </x:cfRule>
  </x:conditionalFormatting>
  <x:conditionalFormatting sqref="N68:N70">
    <x:cfRule type="containsText" dxfId="105" priority="88" operator="containsText" text="금액입력">
      <x:formula>NOT(ISERROR(SEARCH("금액입력",N68)))</x:formula>
    </x:cfRule>
  </x:conditionalFormatting>
  <x:conditionalFormatting sqref="M68:M70">
    <x:cfRule type="containsText" dxfId="104" priority="87" operator="containsText" text="부기명 입력">
      <x:formula>NOT(ISERROR(SEARCH("부기명 입력",M68)))</x:formula>
    </x:cfRule>
  </x:conditionalFormatting>
  <x:conditionalFormatting sqref="M68:M70">
    <x:cfRule type="containsText" dxfId="103" priority="86" operator="containsText" text="금액입력">
      <x:formula>NOT(ISERROR(SEARCH("금액입력",M68)))</x:formula>
    </x:cfRule>
  </x:conditionalFormatting>
  <x:conditionalFormatting sqref="N68:N70">
    <x:cfRule type="containsText" dxfId="102" priority="85" operator="containsText" text="금액입력">
      <x:formula>NOT(ISERROR(SEARCH("금액입력",N68)))</x:formula>
    </x:cfRule>
  </x:conditionalFormatting>
  <x:conditionalFormatting sqref="M72:M74">
    <x:cfRule type="containsText" dxfId="101" priority="84" operator="containsText" text="부기명 입력">
      <x:formula>NOT(ISERROR(SEARCH("부기명 입력",M72)))</x:formula>
    </x:cfRule>
  </x:conditionalFormatting>
  <x:conditionalFormatting sqref="M72:M74">
    <x:cfRule type="containsText" dxfId="100" priority="83" operator="containsText" text="금액입력">
      <x:formula>NOT(ISERROR(SEARCH("금액입력",M72)))</x:formula>
    </x:cfRule>
  </x:conditionalFormatting>
  <x:conditionalFormatting sqref="N72:N74">
    <x:cfRule type="containsText" dxfId="99" priority="82" operator="containsText" text="금액입력">
      <x:formula>NOT(ISERROR(SEARCH("금액입력",N72)))</x:formula>
    </x:cfRule>
  </x:conditionalFormatting>
  <x:conditionalFormatting sqref="M72:M74">
    <x:cfRule type="containsText" dxfId="98" priority="81" operator="containsText" text="부기명 입력">
      <x:formula>NOT(ISERROR(SEARCH("부기명 입력",M72)))</x:formula>
    </x:cfRule>
  </x:conditionalFormatting>
  <x:conditionalFormatting sqref="M72:M74">
    <x:cfRule type="containsText" dxfId="97" priority="80" operator="containsText" text="금액입력">
      <x:formula>NOT(ISERROR(SEARCH("금액입력",M72)))</x:formula>
    </x:cfRule>
  </x:conditionalFormatting>
  <x:conditionalFormatting sqref="N72:N74">
    <x:cfRule type="containsText" dxfId="96" priority="79" operator="containsText" text="금액입력">
      <x:formula>NOT(ISERROR(SEARCH("금액입력",N72)))</x:formula>
    </x:cfRule>
  </x:conditionalFormatting>
  <x:conditionalFormatting sqref="M76:M78">
    <x:cfRule type="containsText" dxfId="95" priority="78" operator="containsText" text="부기명 입력">
      <x:formula>NOT(ISERROR(SEARCH("부기명 입력",M76)))</x:formula>
    </x:cfRule>
  </x:conditionalFormatting>
  <x:conditionalFormatting sqref="M76:M78">
    <x:cfRule type="containsText" dxfId="94" priority="77" operator="containsText" text="금액입력">
      <x:formula>NOT(ISERROR(SEARCH("금액입력",M76)))</x:formula>
    </x:cfRule>
  </x:conditionalFormatting>
  <x:conditionalFormatting sqref="N76:N78">
    <x:cfRule type="containsText" dxfId="93" priority="76" operator="containsText" text="금액입력">
      <x:formula>NOT(ISERROR(SEARCH("금액입력",N76)))</x:formula>
    </x:cfRule>
  </x:conditionalFormatting>
  <x:conditionalFormatting sqref="M76:M78">
    <x:cfRule type="containsText" dxfId="92" priority="75" operator="containsText" text="부기명 입력">
      <x:formula>NOT(ISERROR(SEARCH("부기명 입력",M76)))</x:formula>
    </x:cfRule>
  </x:conditionalFormatting>
  <x:conditionalFormatting sqref="M76:M78">
    <x:cfRule type="containsText" dxfId="91" priority="74" operator="containsText" text="금액입력">
      <x:formula>NOT(ISERROR(SEARCH("금액입력",M76)))</x:formula>
    </x:cfRule>
  </x:conditionalFormatting>
  <x:conditionalFormatting sqref="N76:N78">
    <x:cfRule type="containsText" dxfId="90" priority="73" operator="containsText" text="금액입력">
      <x:formula>NOT(ISERROR(SEARCH("금액입력",N76)))</x:formula>
    </x:cfRule>
  </x:conditionalFormatting>
  <x:conditionalFormatting sqref="M80:M82">
    <x:cfRule type="containsText" dxfId="89" priority="72" operator="containsText" text="부기명 입력">
      <x:formula>NOT(ISERROR(SEARCH("부기명 입력",M80)))</x:formula>
    </x:cfRule>
  </x:conditionalFormatting>
  <x:conditionalFormatting sqref="M80:M82">
    <x:cfRule type="containsText" dxfId="88" priority="71" operator="containsText" text="금액입력">
      <x:formula>NOT(ISERROR(SEARCH("금액입력",M80)))</x:formula>
    </x:cfRule>
  </x:conditionalFormatting>
  <x:conditionalFormatting sqref="N80:N82">
    <x:cfRule type="containsText" dxfId="87" priority="70" operator="containsText" text="금액입력">
      <x:formula>NOT(ISERROR(SEARCH("금액입력",N80)))</x:formula>
    </x:cfRule>
  </x:conditionalFormatting>
  <x:conditionalFormatting sqref="M80:M82">
    <x:cfRule type="containsText" dxfId="86" priority="69" operator="containsText" text="부기명 입력">
      <x:formula>NOT(ISERROR(SEARCH("부기명 입력",M80)))</x:formula>
    </x:cfRule>
  </x:conditionalFormatting>
  <x:conditionalFormatting sqref="M80:M82">
    <x:cfRule type="containsText" dxfId="85" priority="68" operator="containsText" text="금액입력">
      <x:formula>NOT(ISERROR(SEARCH("금액입력",M80)))</x:formula>
    </x:cfRule>
  </x:conditionalFormatting>
  <x:conditionalFormatting sqref="N80:N82">
    <x:cfRule type="containsText" dxfId="84" priority="67" operator="containsText" text="금액입력">
      <x:formula>NOT(ISERROR(SEARCH("금액입력",N80)))</x:formula>
    </x:cfRule>
  </x:conditionalFormatting>
  <x:conditionalFormatting sqref="M84:M86">
    <x:cfRule type="containsText" dxfId="83" priority="66" operator="containsText" text="부기명 입력">
      <x:formula>NOT(ISERROR(SEARCH("부기명 입력",M84)))</x:formula>
    </x:cfRule>
  </x:conditionalFormatting>
  <x:conditionalFormatting sqref="M84:M86">
    <x:cfRule type="containsText" dxfId="82" priority="65" operator="containsText" text="금액입력">
      <x:formula>NOT(ISERROR(SEARCH("금액입력",M84)))</x:formula>
    </x:cfRule>
  </x:conditionalFormatting>
  <x:conditionalFormatting sqref="N84:N86">
    <x:cfRule type="containsText" dxfId="81" priority="64" operator="containsText" text="금액입력">
      <x:formula>NOT(ISERROR(SEARCH("금액입력",N84)))</x:formula>
    </x:cfRule>
  </x:conditionalFormatting>
  <x:conditionalFormatting sqref="M84:M86">
    <x:cfRule type="containsText" dxfId="80" priority="63" operator="containsText" text="부기명 입력">
      <x:formula>NOT(ISERROR(SEARCH("부기명 입력",M84)))</x:formula>
    </x:cfRule>
  </x:conditionalFormatting>
  <x:conditionalFormatting sqref="M84:M86">
    <x:cfRule type="containsText" dxfId="79" priority="62" operator="containsText" text="금액입력">
      <x:formula>NOT(ISERROR(SEARCH("금액입력",M84)))</x:formula>
    </x:cfRule>
  </x:conditionalFormatting>
  <x:conditionalFormatting sqref="N84:N86">
    <x:cfRule type="containsText" dxfId="78" priority="61" operator="containsText" text="금액입력">
      <x:formula>NOT(ISERROR(SEARCH("금액입력",N84)))</x:formula>
    </x:cfRule>
  </x:conditionalFormatting>
  <x:conditionalFormatting sqref="M88:M90">
    <x:cfRule type="containsText" dxfId="77" priority="60" operator="containsText" text="부기명 입력">
      <x:formula>NOT(ISERROR(SEARCH("부기명 입력",M88)))</x:formula>
    </x:cfRule>
  </x:conditionalFormatting>
  <x:conditionalFormatting sqref="M88:M90">
    <x:cfRule type="containsText" dxfId="76" priority="59" operator="containsText" text="금액입력">
      <x:formula>NOT(ISERROR(SEARCH("금액입력",M88)))</x:formula>
    </x:cfRule>
  </x:conditionalFormatting>
  <x:conditionalFormatting sqref="N88:N90">
    <x:cfRule type="containsText" dxfId="75" priority="58" operator="containsText" text="금액입력">
      <x:formula>NOT(ISERROR(SEARCH("금액입력",N88)))</x:formula>
    </x:cfRule>
  </x:conditionalFormatting>
  <x:conditionalFormatting sqref="M88:M90">
    <x:cfRule type="containsText" dxfId="74" priority="57" operator="containsText" text="부기명 입력">
      <x:formula>NOT(ISERROR(SEARCH("부기명 입력",M88)))</x:formula>
    </x:cfRule>
  </x:conditionalFormatting>
  <x:conditionalFormatting sqref="M88:M90">
    <x:cfRule type="containsText" dxfId="73" priority="56" operator="containsText" text="금액입력">
      <x:formula>NOT(ISERROR(SEARCH("금액입력",M88)))</x:formula>
    </x:cfRule>
  </x:conditionalFormatting>
  <x:conditionalFormatting sqref="N88:N90">
    <x:cfRule type="containsText" dxfId="72" priority="55" operator="containsText" text="금액입력">
      <x:formula>NOT(ISERROR(SEARCH("금액입력",N88)))</x:formula>
    </x:cfRule>
  </x:conditionalFormatting>
  <x:conditionalFormatting sqref="M92:M94">
    <x:cfRule type="containsText" dxfId="71" priority="54" operator="containsText" text="부기명 입력">
      <x:formula>NOT(ISERROR(SEARCH("부기명 입력",M92)))</x:formula>
    </x:cfRule>
  </x:conditionalFormatting>
  <x:conditionalFormatting sqref="M92:M94">
    <x:cfRule type="containsText" dxfId="70" priority="53" operator="containsText" text="금액입력">
      <x:formula>NOT(ISERROR(SEARCH("금액입력",M92)))</x:formula>
    </x:cfRule>
  </x:conditionalFormatting>
  <x:conditionalFormatting sqref="N92:N94">
    <x:cfRule type="containsText" dxfId="69" priority="52" operator="containsText" text="금액입력">
      <x:formula>NOT(ISERROR(SEARCH("금액입력",N92)))</x:formula>
    </x:cfRule>
  </x:conditionalFormatting>
  <x:conditionalFormatting sqref="M92:M94">
    <x:cfRule type="containsText" dxfId="68" priority="51" operator="containsText" text="부기명 입력">
      <x:formula>NOT(ISERROR(SEARCH("부기명 입력",M92)))</x:formula>
    </x:cfRule>
  </x:conditionalFormatting>
  <x:conditionalFormatting sqref="M92:M94">
    <x:cfRule type="containsText" dxfId="67" priority="50" operator="containsText" text="금액입력">
      <x:formula>NOT(ISERROR(SEARCH("금액입력",M92)))</x:formula>
    </x:cfRule>
  </x:conditionalFormatting>
  <x:conditionalFormatting sqref="N92:N94">
    <x:cfRule type="containsText" dxfId="66" priority="49" operator="containsText" text="금액입력">
      <x:formula>NOT(ISERROR(SEARCH("금액입력",N92)))</x:formula>
    </x:cfRule>
  </x:conditionalFormatting>
  <x:conditionalFormatting sqref="M96:M98">
    <x:cfRule type="containsText" dxfId="65" priority="48" operator="containsText" text="부기명 입력">
      <x:formula>NOT(ISERROR(SEARCH("부기명 입력",M96)))</x:formula>
    </x:cfRule>
  </x:conditionalFormatting>
  <x:conditionalFormatting sqref="M96:M98">
    <x:cfRule type="containsText" dxfId="64" priority="47" operator="containsText" text="금액입력">
      <x:formula>NOT(ISERROR(SEARCH("금액입력",M96)))</x:formula>
    </x:cfRule>
  </x:conditionalFormatting>
  <x:conditionalFormatting sqref="N96:N98">
    <x:cfRule type="containsText" dxfId="63" priority="46" operator="containsText" text="금액입력">
      <x:formula>NOT(ISERROR(SEARCH("금액입력",N96)))</x:formula>
    </x:cfRule>
  </x:conditionalFormatting>
  <x:conditionalFormatting sqref="M96:M98">
    <x:cfRule type="containsText" dxfId="62" priority="45" operator="containsText" text="부기명 입력">
      <x:formula>NOT(ISERROR(SEARCH("부기명 입력",M96)))</x:formula>
    </x:cfRule>
  </x:conditionalFormatting>
  <x:conditionalFormatting sqref="M96:M98">
    <x:cfRule type="containsText" dxfId="61" priority="44" operator="containsText" text="금액입력">
      <x:formula>NOT(ISERROR(SEARCH("금액입력",M96)))</x:formula>
    </x:cfRule>
  </x:conditionalFormatting>
  <x:conditionalFormatting sqref="N96:N98">
    <x:cfRule type="containsText" dxfId="60" priority="43" operator="containsText" text="금액입력">
      <x:formula>NOT(ISERROR(SEARCH("금액입력",N96)))</x:formula>
    </x:cfRule>
  </x:conditionalFormatting>
  <x:conditionalFormatting sqref="M100:M102">
    <x:cfRule type="containsText" dxfId="59" priority="42" operator="containsText" text="부기명 입력">
      <x:formula>NOT(ISERROR(SEARCH("부기명 입력",M100)))</x:formula>
    </x:cfRule>
  </x:conditionalFormatting>
  <x:conditionalFormatting sqref="M100:M102">
    <x:cfRule type="containsText" dxfId="58" priority="41" operator="containsText" text="금액입력">
      <x:formula>NOT(ISERROR(SEARCH("금액입력",M100)))</x:formula>
    </x:cfRule>
  </x:conditionalFormatting>
  <x:conditionalFormatting sqref="N100:N102">
    <x:cfRule type="containsText" dxfId="57" priority="40" operator="containsText" text="금액입력">
      <x:formula>NOT(ISERROR(SEARCH("금액입력",N100)))</x:formula>
    </x:cfRule>
  </x:conditionalFormatting>
  <x:conditionalFormatting sqref="M100:M102">
    <x:cfRule type="containsText" dxfId="56" priority="39" operator="containsText" text="부기명 입력">
      <x:formula>NOT(ISERROR(SEARCH("부기명 입력",M100)))</x:formula>
    </x:cfRule>
  </x:conditionalFormatting>
  <x:conditionalFormatting sqref="M100:M102">
    <x:cfRule type="containsText" dxfId="55" priority="38" operator="containsText" text="금액입력">
      <x:formula>NOT(ISERROR(SEARCH("금액입력",M100)))</x:formula>
    </x:cfRule>
  </x:conditionalFormatting>
  <x:conditionalFormatting sqref="N100:N102">
    <x:cfRule type="containsText" dxfId="54" priority="37" operator="containsText" text="금액입력">
      <x:formula>NOT(ISERROR(SEARCH("금액입력",N100)))</x:formula>
    </x:cfRule>
  </x:conditionalFormatting>
  <x:conditionalFormatting sqref="M104:M106">
    <x:cfRule type="containsText" dxfId="53" priority="36" operator="containsText" text="부기명 입력">
      <x:formula>NOT(ISERROR(SEARCH("부기명 입력",M104)))</x:formula>
    </x:cfRule>
  </x:conditionalFormatting>
  <x:conditionalFormatting sqref="M104:M106">
    <x:cfRule type="containsText" dxfId="52" priority="35" operator="containsText" text="금액입력">
      <x:formula>NOT(ISERROR(SEARCH("금액입력",M104)))</x:formula>
    </x:cfRule>
  </x:conditionalFormatting>
  <x:conditionalFormatting sqref="N104:N106">
    <x:cfRule type="containsText" dxfId="51" priority="34" operator="containsText" text="금액입력">
      <x:formula>NOT(ISERROR(SEARCH("금액입력",N104)))</x:formula>
    </x:cfRule>
  </x:conditionalFormatting>
  <x:conditionalFormatting sqref="M104:M106">
    <x:cfRule type="containsText" dxfId="50" priority="33" operator="containsText" text="부기명 입력">
      <x:formula>NOT(ISERROR(SEARCH("부기명 입력",M104)))</x:formula>
    </x:cfRule>
  </x:conditionalFormatting>
  <x:conditionalFormatting sqref="M104:M106">
    <x:cfRule type="containsText" dxfId="49" priority="32" operator="containsText" text="금액입력">
      <x:formula>NOT(ISERROR(SEARCH("금액입력",M104)))</x:formula>
    </x:cfRule>
  </x:conditionalFormatting>
  <x:conditionalFormatting sqref="N104:N106">
    <x:cfRule type="containsText" dxfId="48" priority="31" operator="containsText" text="금액입력">
      <x:formula>NOT(ISERROR(SEARCH("금액입력",N104)))</x:formula>
    </x:cfRule>
  </x:conditionalFormatting>
  <x:conditionalFormatting sqref="M108:M110">
    <x:cfRule type="containsText" dxfId="47" priority="30" operator="containsText" text="부기명 입력">
      <x:formula>NOT(ISERROR(SEARCH("부기명 입력",M108)))</x:formula>
    </x:cfRule>
  </x:conditionalFormatting>
  <x:conditionalFormatting sqref="M108:M110">
    <x:cfRule type="containsText" dxfId="46" priority="29" operator="containsText" text="금액입력">
      <x:formula>NOT(ISERROR(SEARCH("금액입력",M108)))</x:formula>
    </x:cfRule>
  </x:conditionalFormatting>
  <x:conditionalFormatting sqref="N108:N110">
    <x:cfRule type="containsText" dxfId="45" priority="28" operator="containsText" text="금액입력">
      <x:formula>NOT(ISERROR(SEARCH("금액입력",N108)))</x:formula>
    </x:cfRule>
  </x:conditionalFormatting>
  <x:conditionalFormatting sqref="M108:M110">
    <x:cfRule type="containsText" dxfId="44" priority="27" operator="containsText" text="부기명 입력">
      <x:formula>NOT(ISERROR(SEARCH("부기명 입력",M108)))</x:formula>
    </x:cfRule>
  </x:conditionalFormatting>
  <x:conditionalFormatting sqref="M108:M110">
    <x:cfRule type="containsText" dxfId="43" priority="26" operator="containsText" text="금액입력">
      <x:formula>NOT(ISERROR(SEARCH("금액입력",M108)))</x:formula>
    </x:cfRule>
  </x:conditionalFormatting>
  <x:conditionalFormatting sqref="N108:N110">
    <x:cfRule type="containsText" dxfId="42" priority="25" operator="containsText" text="금액입력">
      <x:formula>NOT(ISERROR(SEARCH("금액입력",N108)))</x:formula>
    </x:cfRule>
  </x:conditionalFormatting>
  <x:conditionalFormatting sqref="M112:M114">
    <x:cfRule type="containsText" dxfId="41" priority="24" operator="containsText" text="부기명 입력">
      <x:formula>NOT(ISERROR(SEARCH("부기명 입력",M112)))</x:formula>
    </x:cfRule>
  </x:conditionalFormatting>
  <x:conditionalFormatting sqref="M112:M114">
    <x:cfRule type="containsText" dxfId="40" priority="23" operator="containsText" text="금액입력">
      <x:formula>NOT(ISERROR(SEARCH("금액입력",M112)))</x:formula>
    </x:cfRule>
  </x:conditionalFormatting>
  <x:conditionalFormatting sqref="N112:N114">
    <x:cfRule type="containsText" dxfId="39" priority="22" operator="containsText" text="금액입력">
      <x:formula>NOT(ISERROR(SEARCH("금액입력",N112)))</x:formula>
    </x:cfRule>
  </x:conditionalFormatting>
  <x:conditionalFormatting sqref="M112:M114">
    <x:cfRule type="containsText" dxfId="38" priority="21" operator="containsText" text="부기명 입력">
      <x:formula>NOT(ISERROR(SEARCH("부기명 입력",M112)))</x:formula>
    </x:cfRule>
  </x:conditionalFormatting>
  <x:conditionalFormatting sqref="M112:M114">
    <x:cfRule type="containsText" dxfId="37" priority="20" operator="containsText" text="금액입력">
      <x:formula>NOT(ISERROR(SEARCH("금액입력",M112)))</x:formula>
    </x:cfRule>
  </x:conditionalFormatting>
  <x:conditionalFormatting sqref="N112:N114">
    <x:cfRule type="containsText" dxfId="36" priority="19" operator="containsText" text="금액입력">
      <x:formula>NOT(ISERROR(SEARCH("금액입력",N112)))</x:formula>
    </x:cfRule>
  </x:conditionalFormatting>
  <x:conditionalFormatting sqref="M116:M118">
    <x:cfRule type="containsText" dxfId="35" priority="18" operator="containsText" text="부기명 입력">
      <x:formula>NOT(ISERROR(SEARCH("부기명 입력",M116)))</x:formula>
    </x:cfRule>
  </x:conditionalFormatting>
  <x:conditionalFormatting sqref="M116:M118">
    <x:cfRule type="containsText" dxfId="34" priority="17" operator="containsText" text="금액입력">
      <x:formula>NOT(ISERROR(SEARCH("금액입력",M116)))</x:formula>
    </x:cfRule>
  </x:conditionalFormatting>
  <x:conditionalFormatting sqref="N116:N118">
    <x:cfRule type="containsText" dxfId="33" priority="16" operator="containsText" text="금액입력">
      <x:formula>NOT(ISERROR(SEARCH("금액입력",N116)))</x:formula>
    </x:cfRule>
  </x:conditionalFormatting>
  <x:conditionalFormatting sqref="M116:M118">
    <x:cfRule type="containsText" dxfId="32" priority="15" operator="containsText" text="부기명 입력">
      <x:formula>NOT(ISERROR(SEARCH("부기명 입력",M116)))</x:formula>
    </x:cfRule>
  </x:conditionalFormatting>
  <x:conditionalFormatting sqref="M116:M118">
    <x:cfRule type="containsText" dxfId="31" priority="14" operator="containsText" text="금액입력">
      <x:formula>NOT(ISERROR(SEARCH("금액입력",M116)))</x:formula>
    </x:cfRule>
  </x:conditionalFormatting>
  <x:conditionalFormatting sqref="N116:N118">
    <x:cfRule type="containsText" dxfId="30" priority="13" operator="containsText" text="금액입력">
      <x:formula>NOT(ISERROR(SEARCH("금액입력",N116)))</x:formula>
    </x:cfRule>
  </x:conditionalFormatting>
  <x:conditionalFormatting sqref="M120:M122">
    <x:cfRule type="containsText" dxfId="29" priority="12" operator="containsText" text="부기명 입력">
      <x:formula>NOT(ISERROR(SEARCH("부기명 입력",M120)))</x:formula>
    </x:cfRule>
  </x:conditionalFormatting>
  <x:conditionalFormatting sqref="M120:M122">
    <x:cfRule type="containsText" dxfId="28" priority="11" operator="containsText" text="금액입력">
      <x:formula>NOT(ISERROR(SEARCH("금액입력",M120)))</x:formula>
    </x:cfRule>
  </x:conditionalFormatting>
  <x:conditionalFormatting sqref="N120:N122">
    <x:cfRule type="containsText" dxfId="27" priority="10" operator="containsText" text="금액입력">
      <x:formula>NOT(ISERROR(SEARCH("금액입력",N120)))</x:formula>
    </x:cfRule>
  </x:conditionalFormatting>
  <x:conditionalFormatting sqref="M120:M122">
    <x:cfRule type="containsText" dxfId="26" priority="9" operator="containsText" text="부기명 입력">
      <x:formula>NOT(ISERROR(SEARCH("부기명 입력",M120)))</x:formula>
    </x:cfRule>
  </x:conditionalFormatting>
  <x:conditionalFormatting sqref="M120:M122">
    <x:cfRule type="containsText" dxfId="25" priority="8" operator="containsText" text="금액입력">
      <x:formula>NOT(ISERROR(SEARCH("금액입력",M120)))</x:formula>
    </x:cfRule>
  </x:conditionalFormatting>
  <x:conditionalFormatting sqref="N120:N122">
    <x:cfRule type="containsText" dxfId="24" priority="7" operator="containsText" text="금액입력">
      <x:formula>NOT(ISERROR(SEARCH("금액입력",N120)))</x:formula>
    </x:cfRule>
  </x:conditionalFormatting>
  <x:conditionalFormatting sqref="M124:M126">
    <x:cfRule type="containsText" dxfId="23" priority="6" operator="containsText" text="부기명 입력">
      <x:formula>NOT(ISERROR(SEARCH("부기명 입력",M124)))</x:formula>
    </x:cfRule>
  </x:conditionalFormatting>
  <x:conditionalFormatting sqref="M124:M126">
    <x:cfRule type="containsText" dxfId="22" priority="5" operator="containsText" text="금액입력">
      <x:formula>NOT(ISERROR(SEARCH("금액입력",M124)))</x:formula>
    </x:cfRule>
  </x:conditionalFormatting>
  <x:conditionalFormatting sqref="N124:N126">
    <x:cfRule type="containsText" dxfId="21" priority="4" operator="containsText" text="금액입력">
      <x:formula>NOT(ISERROR(SEARCH("금액입력",N124)))</x:formula>
    </x:cfRule>
  </x:conditionalFormatting>
  <x:conditionalFormatting sqref="M124:M126">
    <x:cfRule type="containsText" dxfId="20" priority="3" operator="containsText" text="부기명 입력">
      <x:formula>NOT(ISERROR(SEARCH("부기명 입력",M124)))</x:formula>
    </x:cfRule>
  </x:conditionalFormatting>
  <x:conditionalFormatting sqref="M124:M126">
    <x:cfRule type="containsText" dxfId="19" priority="2" operator="containsText" text="금액입력">
      <x:formula>NOT(ISERROR(SEARCH("금액입력",M124)))</x:formula>
    </x:cfRule>
  </x:conditionalFormatting>
  <x:conditionalFormatting sqref="N124:N126">
    <x:cfRule type="containsText" dxfId="18" priority="1" operator="containsText" text="금액입력">
      <x:formula>NOT(ISERROR(SEARCH("금액입력",N124)))</x:formula>
    </x:cfRule>
  </x:conditionalFormatting>
  <x:dataValidations count="5">
    <x:dataValidation type="list" allowBlank="1" showInputMessage="1" showErrorMessage="1" sqref="E6:E6">
      <x:formula1>"본예산, 신규"</x:formula1>
    </x:dataValidation>
    <x:dataValidation type="list" allowBlank="1" showInputMessage="1" showErrorMessage="1" sqref="W8:W10 W100:W102 W108:W110 W12:W14 W16:W18 W20:W22 W24:W26 W28:W30 W32:W34 W36:W38 W40:W42 W48:W50 W52:W54 W60:W62 W64:W66 W68:W70 W72:W74 W76:W78 W88:W90 W92:W94 Y100:Y102 Y108:Y110 W120:W122 W44:W46 Y12:Y14 Y16:Y18 Y20:Y22 Y24:Y26 Y28:Y30 Y32:Y34 Y36:Y38 Y40:Y42 W104:W106 Y48:Y50 Y52:Y54 Y60:Y62 Y64:Y66 Y68:Y70 Y72:Y74 Y76:Y78 W56:W58 W80:W82 Y88:Y90 Y92:Y94 W96:W98 Y120:Y122 W84:W86 Y56:Y58 Y80:Y82 Y84:Y86 W116:W118 Y44:Y46 Y8:Y10 Y96:Y98 Y116:Y118 W112:W114 Y112:Y114 Y104:Y106 W124:W126 Y124:Y126">
      <x:formula1>"동의, 부동의, 미실시"</x:formula1>
    </x:dataValidation>
    <x:dataValidation type="list" allowBlank="1" showInputMessage="1" showErrorMessage="1" sqref="Z7:Z7 Z11:Z11 Z15:Z15 Z19:Z19 Z23:Z23 Z27:Z27 Z31:Z31 Z35:Z35 Z39:Z39 Z43:Z43 Z47:Z47 Z51:Z51 Z55:Z55 Z59:Z59 Z63:Z63 Z67:Z67 Z71:Z71 Z75:Z75 Z79:Z79 Z83:Z83 Z87:Z87 Z91:Z91 Z95:Z95 Z99:Z99 Z103:Z103 Z107:Z107 AJ107:AK107 AM7:AM7 AJ11:AK11 AJ15:AK15 AJ19:AK19 AJ23:AK23 AJ27:AK27 AJ31:AK31 AJ35:AK35 AJ39:AK39 AJ43:AK43 AJ47:AK47 AJ51:AK51 AJ55:AK55 AJ59:AK59 AJ63:AK63 AJ67:AK67 AJ71:AK71 AJ75:AK75 AJ79:AK79 AJ83:AK83 AJ87:AK87 AJ91:AK91 AJ95:AK95 AJ99:AK99 AJ103:AK103 Z123:Z123 AJ7:AK7 AM11:AM11 AM15:AM15 AM19:AM19 AM23:AM23 AM27:AM27 AM31:AM31 AM35:AM35 AM39:AM39 AM43:AM43 AM47:AM47 AM51:AM51 AM55:AM55 AM59:AM59 AM63:AM63 AM67:AM67 AM71:AM71 AM75:AM75 AM79:AM79 AM83:AM83 AM87:AM87 AM91:AM91 AM95:AM95 AM99:AM99 AM103:AM103 AM107:AM107 AM123:AM123 AJ123:AK123 Z111:Z111 AJ111:AK111 AM111:AM111 Z119:Z119 AM119:AM119 AJ119:AK119 Z115:Z115 AM115:AM115 AJ115:AK115">
      <x:formula1>"도비,국도비"</x:formula1>
    </x:dataValidation>
    <x:dataValidation type="custom" allowBlank="1" showInputMessage="1" showErrorMessage="1" sqref="Z100:Z102 Z108:Z110 Z120:Z122 Z44:Z46 Z12:Z14 Z16:Z18 Z20:Z22 Z24:Z26 Z28:Z30 Z32:Z34 Z36:Z38 Z40:Z42 Z116:Z118 Z48:Z50 Z52:Z54 Z84:Z86 Z60:Z62 Z64:Z66 Z68:Z70 Z72:Z74 Z76:Z78 Z56:Z58 Z80:Z82 Z88:Z90 Z92:Z94 Z8:Z10 Z96:Z98 Z112:Z114 Z104:Z106 Z124:Z126">
      <x:formula1>"국도비, 도비"</x:formula1>
    </x:dataValidation>
    <x:dataValidation type="list" allowBlank="1" showInputMessage="1" showErrorMessage="1" sqref="E112:E114 E116:E118 E120:E122 E8:E10 E12:E14 E16:E18 E20:E22 E24:E26 E28:E30 E32:E34 E36:E38 E40:E42 E44:E46 E48:E50 E52:E54 E56:E58 E60:E62 E64:E66 E68:E70 E72:E74 E76:E78 E80:E82 E84:E86 E88:E90 E92:E94 E96:E98 E104:E106 E100:E102 E108:E110 E124:E126">
      <x:formula1>"본예산, 1추, 2추, 신규"</x:formula1>
    </x:dataValidation>
  </x:dataValidations>
  <x:printOptions horizontalCentered="1" verticalCentered="0" headings="0" gridLines="0" gridLinesSet="1"/>
  <x:pageMargins left="0.2361111044883728" right="0.2361111044883728" top="0.39361110329627991" bottom="0.39361110329627991" header="0" footer="0"/>
  <x:pageSetup paperSize="8" scale="25" firstPageNumber="1" fitToWidth="1" fitToHeight="0" orientation="landscape" usePrinterDefaults="1" blackAndWhite="0" draft="0" useFirstPageNumber="0" horizontalDpi="600" verticalDpi="600" copies="1"/>
  <x:headerFooter>
    <x:oddFooter>&amp;C&amp;"맑은 고딕,Regular"페이지 &amp;P</x:oddFooter>
  </x:headerFooter>
  <x:legacyDrawing r:id="rId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>
    <x:tabColor rgb="ffffccff"/>
    <x:pageSetUpPr autoPageBreaks="1" fitToPage="1"/>
  </x:sheetPr>
  <x:dimension ref="A1:W456"/>
  <x:sheetViews>
    <x:sheetView showGridLines="0" view="pageBreakPreview" topLeftCell="A1" zoomScale="115" zoomScaleNormal="115" zoomScaleSheetLayoutView="115" workbookViewId="0">
      <x:selection activeCell="Q12" activeCellId="0" sqref="Q12:Q12"/>
    </x:sheetView>
  </x:sheetViews>
  <x:sheetFormatPr defaultColWidth="9.00390625" defaultRowHeight="13.5"/>
  <x:cols>
    <x:col min="1" max="1" width="22.5" style="620" customWidth="1"/>
    <x:col min="2" max="2" width="13" style="620" customWidth="1"/>
    <x:col min="3" max="12" width="9" style="620"/>
    <x:col min="13" max="13" width="25.25" style="620" customWidth="1"/>
    <x:col min="14" max="14" width="15.25" style="620" bestFit="1" customWidth="1"/>
    <x:col min="15" max="16384" width="9" style="620"/>
  </x:cols>
  <x:sheetData>
    <x:row r="1" spans="1:14" ht="27.75" customHeight="1">
      <x:c r="A1" s="1017" t="s">
        <x:v>1769</x:v>
      </x:c>
      <x:c r="B1" s="1017"/>
      <x:c r="C1" s="1017"/>
      <x:c r="D1" s="1017"/>
      <x:c r="E1" s="1017"/>
      <x:c r="F1" s="1017"/>
      <x:c r="G1" s="1017"/>
      <x:c r="H1" s="1017"/>
      <x:c r="I1" s="1017"/>
      <x:c r="J1" s="1017"/>
      <x:c r="K1" s="1017"/>
      <x:c r="L1" s="1017"/>
      <x:c r="M1" s="1017"/>
      <x:c r="N1" s="886"/>
    </x:row>
    <x:row r="2" spans="13:14" ht="17.25" customHeight="1">
      <x:c r="M2" s="887" t="s">
        <x:v>1313</x:v>
      </x:c>
      <x:c r="N2" s="886"/>
    </x:row>
    <x:row r="3" spans="1:13" ht="20.100000000000001" customHeight="1">
      <x:c r="A3" s="1018" t="s">
        <x:v>1297</x:v>
      </x:c>
      <x:c r="B3" s="1020" t="s">
        <x:v>459</x:v>
      </x:c>
      <x:c r="C3" s="1022" t="s">
        <x:v>1296</x:v>
      </x:c>
      <x:c r="D3" s="1014" t="s">
        <x:v>1342</x:v>
      </x:c>
      <x:c r="E3" s="1015"/>
      <x:c r="F3" s="1016"/>
      <x:c r="G3" s="1014" t="s">
        <x:v>458</x:v>
      </x:c>
      <x:c r="H3" s="1015"/>
      <x:c r="I3" s="1016"/>
      <x:c r="J3" s="1024">
        <x:v>2026</x:v>
      </x:c>
      <x:c r="K3" s="1026">
        <x:v>2027</x:v>
      </x:c>
      <x:c r="L3" s="1028" t="s">
        <x:v>1274</x:v>
      </x:c>
      <x:c r="M3" s="1030" t="s">
        <x:v>1666</x:v>
      </x:c>
    </x:row>
    <x:row r="4" spans="1:13" ht="20.100000000000001" customHeight="1">
      <x:c r="A4" s="1019"/>
      <x:c r="B4" s="1021"/>
      <x:c r="C4" s="1023"/>
      <x:c r="D4" s="884" t="s">
        <x:v>415</x:v>
      </x:c>
      <x:c r="E4" s="883" t="s">
        <x:v>411</x:v>
      </x:c>
      <x:c r="F4" s="885" t="s">
        <x:v>1273</x:v>
      </x:c>
      <x:c r="G4" s="884" t="s">
        <x:v>415</x:v>
      </x:c>
      <x:c r="H4" s="883" t="s">
        <x:v>411</x:v>
      </x:c>
      <x:c r="I4" s="882" t="s">
        <x:v>1273</x:v>
      </x:c>
      <x:c r="J4" s="1025"/>
      <x:c r="K4" s="1027"/>
      <x:c r="L4" s="1029"/>
      <x:c r="M4" s="1031"/>
    </x:row>
    <x:row r="5" spans="1:13" s="689" customFormat="1" ht="20.100000000000001" customHeight="1">
      <x:c r="A5" s="881" t="s">
        <x:v>1695</x:v>
      </x:c>
      <x:c r="B5" s="880" t="s">
        <x:v>1295</x:v>
      </x:c>
      <x:c r="C5" s="874">
        <x:f>SUM(C6:C8)</x:f>
        <x:v>33110100</x:v>
      </x:c>
      <x:c r="D5" s="873">
        <x:f>SUM(D6:D8)</x:f>
        <x:v>10581600</x:v>
      </x:c>
      <x:c r="E5" s="872">
        <x:f>D5-F5</x:f>
        <x:v>582537</x:v>
      </x:c>
      <x:c r="F5" s="863">
        <x:f>SUM(F6:F8)</x:f>
        <x:v>9999063</x:v>
      </x:c>
      <x:c r="G5" s="873">
        <x:f>SUM(G6:G8)</x:f>
        <x:v>10000</x:v>
      </x:c>
      <x:c r="H5" s="872">
        <x:f>SUM(H6:H8)</x:f>
        <x:v>0</x:v>
      </x:c>
      <x:c r="I5" s="863">
        <x:f>G5-H5</x:f>
        <x:v>10000</x:v>
      </x:c>
      <x:c r="J5" s="873">
        <x:f>SUM(J6:J8)</x:f>
        <x:v>6099000</x:v>
      </x:c>
      <x:c r="K5" s="872">
        <x:f>SUM(K6:K8)</x:f>
        <x:v>16419500</x:v>
      </x:c>
      <x:c r="L5" s="863">
        <x:f>C5-D5-G5-J5-K5</x:f>
        <x:v>0</x:v>
      </x:c>
      <x:c r="M5" s="879" t="s">
        <x:v>1668</x:v>
      </x:c>
    </x:row>
    <x:row r="6" spans="1:14" s="689" customFormat="1" ht="15.75" customHeight="1">
      <x:c r="A6" s="663" t="s">
        <x:v>1768</x:v>
      </x:c>
      <x:c r="B6" s="677" t="s">
        <x:v>117</x:v>
      </x:c>
      <x:c r="C6" s="623">
        <x:v>29123100</x:v>
      </x:c>
      <x:c r="D6" s="870">
        <x:v>9444600</x:v>
      </x:c>
      <x:c r="E6" s="622">
        <x:v>545348</x:v>
      </x:c>
      <x:c r="F6" s="861">
        <x:v>8899252</x:v>
      </x:c>
      <x:c r="G6" s="870">
        <x:v>8000</x:v>
      </x:c>
      <x:c r="H6" s="622">
        <x:v>0</x:v>
      </x:c>
      <x:c r="I6" s="861">
        <x:f>G6-H6</x:f>
        <x:v>8000</x:v>
      </x:c>
      <x:c r="J6" s="870">
        <x:v>5222000</x:v>
      </x:c>
      <x:c r="K6" s="622">
        <x:v>14448500</x:v>
      </x:c>
      <x:c r="L6" s="861">
        <x:v>0</x:v>
      </x:c>
      <x:c r="M6" s="878" t="s">
        <x:v>1907</x:v>
      </x:c>
      <x:c r="N6" s="735"/>
    </x:row>
    <x:row r="7" spans="1:14" s="689" customFormat="1" ht="15.75" customHeight="1">
      <x:c r="A7" s="663" t="s">
        <x:v>1766</x:v>
      </x:c>
      <x:c r="B7" s="662" t="s">
        <x:v>148</x:v>
      </x:c>
      <x:c r="C7" s="623">
        <x:v>3926000</x:v>
      </x:c>
      <x:c r="D7" s="870">
        <x:v>1116000</x:v>
      </x:c>
      <x:c r="E7" s="622">
        <x:v>33600</x:v>
      </x:c>
      <x:c r="F7" s="861">
        <x:v>1082400</x:v>
      </x:c>
      <x:c r="G7" s="870">
        <x:v>2000</x:v>
      </x:c>
      <x:c r="H7" s="622">
        <x:v>0</x:v>
      </x:c>
      <x:c r="I7" s="861">
        <x:f>G7-H7</x:f>
        <x:v>2000</x:v>
      </x:c>
      <x:c r="J7" s="870">
        <x:v>865000</x:v>
      </x:c>
      <x:c r="K7" s="622">
        <x:v>1943000</x:v>
      </x:c>
      <x:c r="L7" s="861">
        <x:v>0</x:v>
      </x:c>
      <x:c r="M7" s="651" t="s">
        <x:v>1709</x:v>
      </x:c>
      <x:c r="N7" s="735"/>
    </x:row>
    <x:row r="8" spans="1:13" s="689" customFormat="1" ht="15.75" customHeight="1">
      <x:c r="A8" s="871" t="s">
        <x:v>1411</x:v>
      </x:c>
      <x:c r="B8" s="662" t="s">
        <x:v>646</x:v>
      </x:c>
      <x:c r="C8" s="877">
        <x:v>61000</x:v>
      </x:c>
      <x:c r="D8" s="876">
        <x:v>21000</x:v>
      </x:c>
      <x:c r="E8" s="875">
        <x:v>3589</x:v>
      </x:c>
      <x:c r="F8" s="860">
        <x:v>17411</x:v>
      </x:c>
      <x:c r="G8" s="876"/>
      <x:c r="H8" s="875">
        <x:v>0</x:v>
      </x:c>
      <x:c r="I8" s="860">
        <x:f>G8-H8</x:f>
        <x:v>0</x:v>
      </x:c>
      <x:c r="J8" s="876">
        <x:v>12000</x:v>
      </x:c>
      <x:c r="K8" s="875">
        <x:v>28000</x:v>
      </x:c>
      <x:c r="L8" s="860">
        <x:v>0</x:v>
      </x:c>
      <x:c r="M8" s="651"/>
    </x:row>
    <x:row r="9" spans="1:13" s="689" customFormat="1" ht="20.100000000000001" customHeight="1">
      <x:c r="A9" s="871" t="s">
        <x:v>1925</x:v>
      </x:c>
      <x:c r="B9" s="669" t="s">
        <x:v>1294</x:v>
      </x:c>
      <x:c r="C9" s="874">
        <x:f>SUM(C10:C12)</x:f>
        <x:v>33110100</x:v>
      </x:c>
      <x:c r="D9" s="873">
        <x:f>SUM(D10:D12)</x:f>
        <x:v>10581600</x:v>
      </x:c>
      <x:c r="E9" s="872">
        <x:f>SUM(E10:E12)</x:f>
        <x:v>8523625</x:v>
      </x:c>
      <x:c r="F9" s="863">
        <x:f>SUM(F10:F12)</x:f>
        <x:v>2057975</x:v>
      </x:c>
      <x:c r="G9" s="873">
        <x:v>10000</x:v>
      </x:c>
      <x:c r="H9" s="872">
        <x:v>0</x:v>
      </x:c>
      <x:c r="I9" s="863">
        <x:v>10000</x:v>
      </x:c>
      <x:c r="J9" s="873">
        <x:f>SUM(J10:J12)</x:f>
        <x:v>2447527</x:v>
      </x:c>
      <x:c r="K9" s="872">
        <x:f>SUM(K10:K12)</x:f>
        <x:v>20070973</x:v>
      </x:c>
      <x:c r="L9" s="863">
        <x:v>0</x:v>
      </x:c>
      <x:c r="M9" s="651"/>
    </x:row>
    <x:row r="10" spans="1:14" s="689" customFormat="1" ht="20.100000000000001" customHeight="1">
      <x:c r="A10" s="871" t="s">
        <x:v>11</x:v>
      </x:c>
      <x:c r="B10" s="677" t="s">
        <x:v>117</x:v>
      </x:c>
      <x:c r="C10" s="623">
        <x:f>SUM(D10,G10,J10,K10)</x:f>
        <x:v>29123100</x:v>
      </x:c>
      <x:c r="D10" s="870">
        <x:v>9444600</x:v>
      </x:c>
      <x:c r="E10" s="622">
        <x:v>7600594</x:v>
      </x:c>
      <x:c r="F10" s="861">
        <x:f>D10-E10</x:f>
        <x:v>1844006</x:v>
      </x:c>
      <x:c r="G10" s="870">
        <x:v>8000</x:v>
      </x:c>
      <x:c r="H10" s="622">
        <x:v>0</x:v>
      </x:c>
      <x:c r="I10" s="861">
        <x:v>8000</x:v>
      </x:c>
      <x:c r="J10" s="870">
        <x:v>1959333</x:v>
      </x:c>
      <x:c r="K10" s="622">
        <x:v>17711167</x:v>
      </x:c>
      <x:c r="L10" s="861">
        <x:v>0</x:v>
      </x:c>
      <x:c r="M10" s="651"/>
      <x:c r="N10" s="735"/>
    </x:row>
    <x:row r="11" spans="1:14" s="689" customFormat="1" ht="20.100000000000001" customHeight="1">
      <x:c r="A11" s="871" t="s">
        <x:v>1913</x:v>
      </x:c>
      <x:c r="B11" s="662" t="s">
        <x:v>148</x:v>
      </x:c>
      <x:c r="C11" s="623">
        <x:f>SUM(D11,G11,J11,K11)</x:f>
        <x:v>3926000</x:v>
      </x:c>
      <x:c r="D11" s="870">
        <x:v>1116000</x:v>
      </x:c>
      <x:c r="E11" s="622">
        <x:v>909325</x:v>
      </x:c>
      <x:c r="F11" s="861">
        <x:f>D11-E11</x:f>
        <x:v>206675</x:v>
      </x:c>
      <x:c r="G11" s="870">
        <x:v>2000</x:v>
      </x:c>
      <x:c r="H11" s="622">
        <x:v>0</x:v>
      </x:c>
      <x:c r="I11" s="861">
        <x:v>2000</x:v>
      </x:c>
      <x:c r="J11" s="870">
        <x:v>486194</x:v>
      </x:c>
      <x:c r="K11" s="622">
        <x:v>2321806</x:v>
      </x:c>
      <x:c r="L11" s="861">
        <x:v>0</x:v>
      </x:c>
      <x:c r="M11" s="651"/>
      <x:c r="N11" s="735"/>
    </x:row>
    <x:row r="12" spans="1:14" s="689" customFormat="1" ht="20.100000000000001" customHeight="1">
      <x:c r="A12" s="657"/>
      <x:c r="B12" s="662" t="s">
        <x:v>646</x:v>
      </x:c>
      <x:c r="C12" s="623">
        <x:f>SUM(D12,G12,J12,K12)</x:f>
        <x:v>61000</x:v>
      </x:c>
      <x:c r="D12" s="870">
        <x:v>21000</x:v>
      </x:c>
      <x:c r="E12" s="622">
        <x:v>13706</x:v>
      </x:c>
      <x:c r="F12" s="861">
        <x:f>D12-E12</x:f>
        <x:v>7294</x:v>
      </x:c>
      <x:c r="G12" s="870">
        <x:v>0</x:v>
      </x:c>
      <x:c r="H12" s="622">
        <x:v>0</x:v>
      </x:c>
      <x:c r="I12" s="861">
        <x:v>0</x:v>
      </x:c>
      <x:c r="J12" s="870">
        <x:v>2000</x:v>
      </x:c>
      <x:c r="K12" s="622">
        <x:v>38000</x:v>
      </x:c>
      <x:c r="L12" s="860">
        <x:v>0</x:v>
      </x:c>
      <x:c r="M12" s="651"/>
      <x:c r="N12" s="735"/>
    </x:row>
    <x:row r="13" spans="1:13" s="689" customFormat="1" ht="20.100000000000001" customHeight="1">
      <x:c r="A13" s="869" t="s">
        <x:v>430</x:v>
      </x:c>
      <x:c r="B13" s="831" t="s">
        <x:v>456</x:v>
      </x:c>
      <x:c r="C13" s="868">
        <x:v>0</x:v>
      </x:c>
      <x:c r="D13" s="867">
        <x:f t="shared" ref="D13:K13" si="0">D9-D5</x:f>
        <x:v>0</x:v>
      </x:c>
      <x:c r="E13" s="866">
        <x:f t="shared" si="0"/>
        <x:v>7941088</x:v>
      </x:c>
      <x:c r="F13" s="865">
        <x:f t="shared" si="0"/>
        <x:v>-7941088</x:v>
      </x:c>
      <x:c r="G13" s="867">
        <x:f t="shared" si="0"/>
        <x:v>0</x:v>
      </x:c>
      <x:c r="H13" s="866">
        <x:f t="shared" si="0"/>
        <x:v>0</x:v>
      </x:c>
      <x:c r="I13" s="865">
        <x:f t="shared" si="0"/>
        <x:v>0</x:v>
      </x:c>
      <x:c r="J13" s="867">
        <x:f t="shared" si="0"/>
        <x:v>-3651473</x:v>
      </x:c>
      <x:c r="K13" s="866">
        <x:f t="shared" si="0"/>
        <x:v>3651473</x:v>
      </x:c>
      <x:c r="L13" s="865">
        <x:v>0</x:v>
      </x:c>
      <x:c r="M13" s="644" t="s">
        <x:v>1404</x:v>
      </x:c>
    </x:row>
    <x:row r="14" spans="1:13" s="689" customFormat="1" ht="20.100000000000001" customHeight="1">
      <x:c r="A14" s="841" t="s">
        <x:v>1402</x:v>
      </x:c>
      <x:c r="B14" s="840" t="s">
        <x:v>1295</x:v>
      </x:c>
      <x:c r="C14" s="788">
        <x:v>166753112</x:v>
      </x:c>
      <x:c r="D14" s="786">
        <x:v>145297112</x:v>
      </x:c>
      <x:c r="E14" s="785">
        <x:v>141275194</x:v>
      </x:c>
      <x:c r="F14" s="864">
        <x:v>4021918</x:v>
      </x:c>
      <x:c r="G14" s="786">
        <x:v>6667000</x:v>
      </x:c>
      <x:c r="H14" s="785">
        <x:v>1049180</x:v>
      </x:c>
      <x:c r="I14" s="784">
        <x:v>5617820</x:v>
      </x:c>
      <x:c r="J14" s="786">
        <x:v>14789000</x:v>
      </x:c>
      <x:c r="K14" s="785">
        <x:v>0</x:v>
      </x:c>
      <x:c r="L14" s="863">
        <x:f>C14-D14-G14-J14-K14</x:f>
        <x:v>0</x:v>
      </x:c>
      <x:c r="M14" s="839" t="s">
        <x:v>1399</x:v>
      </x:c>
    </x:row>
    <x:row r="15" spans="1:13" s="689" customFormat="1" ht="20.100000000000001" customHeight="1">
      <x:c r="A15" s="834" t="s">
        <x:v>1765</x:v>
      </x:c>
      <x:c r="B15" s="709" t="s">
        <x:v>117</x:v>
      </x:c>
      <x:c r="C15" s="661">
        <x:v>163218112</x:v>
      </x:c>
      <x:c r="D15" s="660">
        <x:v>142443112</x:v>
      </x:c>
      <x:c r="E15" s="659">
        <x:v>138508756</x:v>
      </x:c>
      <x:c r="F15" s="862">
        <x:v>3934356</x:v>
      </x:c>
      <x:c r="G15" s="660">
        <x:v>6546000</x:v>
      </x:c>
      <x:c r="H15" s="659">
        <x:v>1049180</x:v>
      </x:c>
      <x:c r="I15" s="658">
        <x:v>889359</x:v>
      </x:c>
      <x:c r="J15" s="660">
        <x:v>14229000</x:v>
      </x:c>
      <x:c r="K15" s="673">
        <x:v>0</x:v>
      </x:c>
      <x:c r="L15" s="861">
        <x:v>0</x:v>
      </x:c>
      <x:c r="M15" s="833" t="s">
        <x:v>1720</x:v>
      </x:c>
    </x:row>
    <x:row r="16" spans="1:13" s="689" customFormat="1" ht="20.100000000000001" customHeight="1">
      <x:c r="A16" s="834" t="s">
        <x:v>1921</x:v>
      </x:c>
      <x:c r="B16" s="709" t="s">
        <x:v>148</x:v>
      </x:c>
      <x:c r="C16" s="661">
        <x:v>3406000</x:v>
      </x:c>
      <x:c r="D16" s="660">
        <x:v>2734000</x:v>
      </x:c>
      <x:c r="E16" s="659">
        <x:v>2682266</x:v>
      </x:c>
      <x:c r="F16" s="862">
        <x:v>51734</x:v>
      </x:c>
      <x:c r="G16" s="660">
        <x:v>112000</x:v>
      </x:c>
      <x:c r="H16" s="659">
        <x:v>0</x:v>
      </x:c>
      <x:c r="I16" s="658">
        <x:v>112000</x:v>
      </x:c>
      <x:c r="J16" s="660">
        <x:v>560000</x:v>
      </x:c>
      <x:c r="K16" s="659">
        <x:v>0</x:v>
      </x:c>
      <x:c r="L16" s="861">
        <x:v>0</x:v>
      </x:c>
      <x:c r="M16" s="651"/>
    </x:row>
    <x:row r="17" spans="1:13" s="689" customFormat="1" ht="20.100000000000001" customHeight="1">
      <x:c r="A17" s="834" t="s">
        <x:v>1767</x:v>
      </x:c>
      <x:c r="B17" s="838" t="s">
        <x:v>646</x:v>
      </x:c>
      <x:c r="C17" s="661">
        <x:v>129000</x:v>
      </x:c>
      <x:c r="D17" s="660">
        <x:v>120000</x:v>
      </x:c>
      <x:c r="E17" s="837">
        <x:v>84172</x:v>
      </x:c>
      <x:c r="F17" s="843">
        <x:v>35828</x:v>
      </x:c>
      <x:c r="G17" s="836">
        <x:v>9000</x:v>
      </x:c>
      <x:c r="H17" s="659">
        <x:v>0</x:v>
      </x:c>
      <x:c r="I17" s="658">
        <x:v>9000</x:v>
      </x:c>
      <x:c r="J17" s="660"/>
      <x:c r="K17" s="659">
        <x:v>0</x:v>
      </x:c>
      <x:c r="L17" s="860">
        <x:v>0</x:v>
      </x:c>
      <x:c r="M17" s="859" t="s">
        <x:v>455</x:v>
      </x:c>
    </x:row>
    <x:row r="18" spans="1:13" s="689" customFormat="1" ht="20.100000000000001" customHeight="1">
      <x:c r="A18" s="834" t="s">
        <x:v>1906</x:v>
      </x:c>
      <x:c r="B18" s="669" t="s">
        <x:v>1294</x:v>
      </x:c>
      <x:c r="C18" s="668">
        <x:f>D18+G18+J18+K18+L18</x:f>
        <x:v>173957112</x:v>
      </x:c>
      <x:c r="D18" s="666">
        <x:f t="shared" ref="D18:L18" si="1">D19+D20+D21</x:f>
        <x:v>145297112</x:v>
      </x:c>
      <x:c r="E18" s="665">
        <x:f t="shared" si="1"/>
        <x:v>141275194</x:v>
      </x:c>
      <x:c r="F18" s="664">
        <x:f t="shared" si="1"/>
        <x:v>4021918</x:v>
      </x:c>
      <x:c r="G18" s="666">
        <x:f t="shared" si="1"/>
        <x:v>6667000</x:v>
      </x:c>
      <x:c r="H18" s="665">
        <x:f t="shared" si="1"/>
        <x:v>3168473</x:v>
      </x:c>
      <x:c r="I18" s="664">
        <x:f t="shared" si="1"/>
        <x:v>3498527</x:v>
      </x:c>
      <x:c r="J18" s="666">
        <x:f t="shared" si="1"/>
        <x:v>12993000</x:v>
      </x:c>
      <x:c r="K18" s="665">
        <x:f t="shared" si="1"/>
        <x:v>9000000</x:v>
      </x:c>
      <x:c r="L18" s="664">
        <x:f t="shared" si="1"/>
        <x:v>0</x:v>
      </x:c>
      <x:c r="M18" s="833" t="s">
        <x:v>1302</x:v>
      </x:c>
    </x:row>
    <x:row r="19" spans="1:13" s="689" customFormat="1" ht="20.100000000000001" customHeight="1">
      <x:c r="A19" s="834"/>
      <x:c r="B19" s="709" t="s">
        <x:v>117</x:v>
      </x:c>
      <x:c r="C19" s="661">
        <x:f>D19+G19+J19+K19+L19</x:f>
        <x:v>170422112</x:v>
      </x:c>
      <x:c r="D19" s="660">
        <x:v>142443112</x:v>
      </x:c>
      <x:c r="E19" s="659">
        <x:v>138508756</x:v>
      </x:c>
      <x:c r="F19" s="658">
        <x:v>3934356</x:v>
      </x:c>
      <x:c r="G19" s="660">
        <x:v>6546000</x:v>
      </x:c>
      <x:c r="H19" s="659">
        <x:v>3090420</x:v>
      </x:c>
      <x:c r="I19" s="658">
        <x:f>G19-H19</x:f>
        <x:v>3455580</x:v>
      </x:c>
      <x:c r="J19" s="660">
        <x:v>12433000</x:v>
      </x:c>
      <x:c r="K19" s="659">
        <x:v>9000000</x:v>
      </x:c>
      <x:c r="L19" s="658">
        <x:v>0</x:v>
      </x:c>
      <x:c r="M19" s="651" t="s">
        <x:v>1706</x:v>
      </x:c>
    </x:row>
    <x:row r="20" spans="1:13" s="689" customFormat="1" ht="20.100000000000001" customHeight="1">
      <x:c r="A20" s="835" t="s">
        <x:v>454</x:v>
      </x:c>
      <x:c r="B20" s="709" t="s">
        <x:v>148</x:v>
      </x:c>
      <x:c r="C20" s="661">
        <x:f>D20+G20+J20+K20+L20</x:f>
        <x:v>3406000</x:v>
      </x:c>
      <x:c r="D20" s="660">
        <x:v>2734000</x:v>
      </x:c>
      <x:c r="E20" s="659">
        <x:v>2682266</x:v>
      </x:c>
      <x:c r="F20" s="658">
        <x:v>51734</x:v>
      </x:c>
      <x:c r="G20" s="660">
        <x:v>112000</x:v>
      </x:c>
      <x:c r="H20" s="659">
        <x:v>78053</x:v>
      </x:c>
      <x:c r="I20" s="658">
        <x:f>G20-H20</x:f>
        <x:v>33947</x:v>
      </x:c>
      <x:c r="J20" s="660">
        <x:v>560000</x:v>
      </x:c>
      <x:c r="K20" s="659">
        <x:v>0</x:v>
      </x:c>
      <x:c r="L20" s="658">
        <x:v>0</x:v>
      </x:c>
      <x:c r="M20" s="651" t="s">
        <x:v>1703</x:v>
      </x:c>
    </x:row>
    <x:row r="21" spans="1:13" s="689" customFormat="1" ht="20.100000000000001" customHeight="1">
      <x:c r="A21" s="834"/>
      <x:c r="B21" s="842" t="s">
        <x:v>646</x:v>
      </x:c>
      <x:c r="C21" s="661">
        <x:f>D21+G21+J21+K21+L21</x:f>
        <x:v>129000</x:v>
      </x:c>
      <x:c r="D21" s="660">
        <x:v>120000</x:v>
      </x:c>
      <x:c r="E21" s="837">
        <x:v>84172</x:v>
      </x:c>
      <x:c r="F21" s="658">
        <x:v>35828</x:v>
      </x:c>
      <x:c r="G21" s="836">
        <x:v>9000</x:v>
      </x:c>
      <x:c r="H21" s="659">
        <x:v>0</x:v>
      </x:c>
      <x:c r="I21" s="658">
        <x:f>G21-H21</x:f>
        <x:v>9000</x:v>
      </x:c>
      <x:c r="J21" s="660">
        <x:v>0</x:v>
      </x:c>
      <x:c r="K21" s="659">
        <x:v>0</x:v>
      </x:c>
      <x:c r="L21" s="658">
        <x:v>0</x:v>
      </x:c>
      <x:c r="M21" s="833"/>
    </x:row>
    <x:row r="22" spans="1:13" s="689" customFormat="1" ht="20.100000000000001" customHeight="1">
      <x:c r="A22" s="832"/>
      <x:c r="B22" s="831" t="s">
        <x:v>456</x:v>
      </x:c>
      <x:c r="C22" s="807">
        <x:f t="shared" ref="C22:L22" si="2">C18-C14</x:f>
        <x:v>7204000</x:v>
      </x:c>
      <x:c r="D22" s="806">
        <x:f t="shared" si="2"/>
        <x:v>0</x:v>
      </x:c>
      <x:c r="E22" s="805">
        <x:f t="shared" si="2"/>
        <x:v>0</x:v>
      </x:c>
      <x:c r="F22" s="804">
        <x:f t="shared" si="2"/>
        <x:v>0</x:v>
      </x:c>
      <x:c r="G22" s="806">
        <x:f t="shared" si="2"/>
        <x:v>0</x:v>
      </x:c>
      <x:c r="H22" s="805">
        <x:f t="shared" si="2"/>
        <x:v>2119293</x:v>
      </x:c>
      <x:c r="I22" s="804">
        <x:f t="shared" si="2"/>
        <x:v>-2119293</x:v>
      </x:c>
      <x:c r="J22" s="806">
        <x:f t="shared" si="2"/>
        <x:v>-1796000</x:v>
      </x:c>
      <x:c r="K22" s="805">
        <x:f t="shared" si="2"/>
        <x:v>9000000</x:v>
      </x:c>
      <x:c r="L22" s="804">
        <x:f t="shared" si="2"/>
        <x:v>0</x:v>
      </x:c>
      <x:c r="M22" s="830" t="s">
        <x:v>1374</x:v>
      </x:c>
    </x:row>
    <x:row r="23" spans="1:13" s="689" customFormat="1" ht="20.100000000000001" customHeight="1">
      <x:c r="A23" s="841" t="s">
        <x:v>1910</x:v>
      </x:c>
      <x:c r="B23" s="840" t="s">
        <x:v>1295</x:v>
      </x:c>
      <x:c r="C23" s="788">
        <x:v>327910000</x:v>
      </x:c>
      <x:c r="D23" s="786">
        <x:v>245229884</x:v>
      </x:c>
      <x:c r="E23" s="785">
        <x:v>228505481</x:v>
      </x:c>
      <x:c r="F23" s="784">
        <x:v>16724403</x:v>
      </x:c>
      <x:c r="G23" s="786">
        <x:v>29900000</x:v>
      </x:c>
      <x:c r="H23" s="785">
        <x:v>22006059</x:v>
      </x:c>
      <x:c r="I23" s="784">
        <x:v>7893941</x:v>
      </x:c>
      <x:c r="J23" s="786">
        <x:v>7143000</x:v>
      </x:c>
      <x:c r="K23" s="785">
        <x:v>5200000</x:v>
      </x:c>
      <x:c r="L23" s="784">
        <x:v>40437116</x:v>
      </x:c>
      <x:c r="M23" s="839" t="s">
        <x:v>1668</x:v>
      </x:c>
    </x:row>
    <x:row r="24" spans="1:13" s="689" customFormat="1" ht="20.100000000000001" customHeight="1">
      <x:c r="A24" s="834" t="s">
        <x:v>1920</x:v>
      </x:c>
      <x:c r="B24" s="709" t="s">
        <x:v>117</x:v>
      </x:c>
      <x:c r="C24" s="676">
        <x:v>323634000</x:v>
      </x:c>
      <x:c r="D24" s="674">
        <x:v>242726884</x:v>
      </x:c>
      <x:c r="E24" s="659">
        <x:v>226478346</x:v>
      </x:c>
      <x:c r="F24" s="672">
        <x:v>16248538</x:v>
      </x:c>
      <x:c r="G24" s="674">
        <x:v>29900000</x:v>
      </x:c>
      <x:c r="H24" s="673">
        <x:v>22006059</x:v>
      </x:c>
      <x:c r="I24" s="672">
        <x:v>7893941</x:v>
      </x:c>
      <x:c r="J24" s="660">
        <x:v>6713000</x:v>
      </x:c>
      <x:c r="K24" s="659">
        <x:v>5000000</x:v>
      </x:c>
      <x:c r="L24" s="658">
        <x:v>39294116</x:v>
      </x:c>
      <x:c r="M24" s="833" t="s">
        <x:v>1720</x:v>
      </x:c>
    </x:row>
    <x:row r="25" spans="1:13" s="689" customFormat="1" ht="20.100000000000001" customHeight="1">
      <x:c r="A25" s="834" t="s">
        <x:v>1403</x:v>
      </x:c>
      <x:c r="B25" s="709" t="s">
        <x:v>148</x:v>
      </x:c>
      <x:c r="C25" s="661">
        <x:v>4110000</x:v>
      </x:c>
      <x:c r="D25" s="660">
        <x:v>2367000</x:v>
      </x:c>
      <x:c r="E25" s="659">
        <x:v>1897046</x:v>
      </x:c>
      <x:c r="F25" s="658">
        <x:v>469954</x:v>
      </x:c>
      <x:c r="G25" s="660">
        <x:v>0</x:v>
      </x:c>
      <x:c r="H25" s="659">
        <x:v>0</x:v>
      </x:c>
      <x:c r="I25" s="658">
        <x:v>0</x:v>
      </x:c>
      <x:c r="J25" s="660">
        <x:v>400000</x:v>
      </x:c>
      <x:c r="K25" s="659">
        <x:v>200000</x:v>
      </x:c>
      <x:c r="L25" s="658">
        <x:v>1143000</x:v>
      </x:c>
      <x:c r="M25" s="651" t="s">
        <x:v>1400</x:v>
      </x:c>
    </x:row>
    <x:row r="26" spans="1:13" s="689" customFormat="1" ht="20.100000000000001" customHeight="1">
      <x:c r="A26" s="834" t="s">
        <x:v>1763</x:v>
      </x:c>
      <x:c r="B26" s="838" t="s">
        <x:v>646</x:v>
      </x:c>
      <x:c r="C26" s="844">
        <x:v>166000</x:v>
      </x:c>
      <x:c r="D26" s="836">
        <x:v>136000</x:v>
      </x:c>
      <x:c r="E26" s="837">
        <x:v>130089</x:v>
      </x:c>
      <x:c r="F26" s="843">
        <x:v>5911</x:v>
      </x:c>
      <x:c r="G26" s="836">
        <x:v>0</x:v>
      </x:c>
      <x:c r="H26" s="837">
        <x:v>0</x:v>
      </x:c>
      <x:c r="I26" s="843">
        <x:v>0</x:v>
      </x:c>
      <x:c r="J26" s="660">
        <x:v>30000</x:v>
      </x:c>
      <x:c r="K26" s="659">
        <x:v>0</x:v>
      </x:c>
      <x:c r="L26" s="658">
        <x:v>0</x:v>
      </x:c>
      <x:c r="M26" s="859" t="s">
        <x:v>470</x:v>
      </x:c>
    </x:row>
    <x:row r="27" spans="1:13" s="689" customFormat="1" ht="20.100000000000001" customHeight="1">
      <x:c r="A27" s="834" t="s">
        <x:v>1906</x:v>
      </x:c>
      <x:c r="B27" s="669" t="s">
        <x:v>1294</x:v>
      </x:c>
      <x:c r="C27" s="668">
        <x:f>D27+G27+J27+K27+L27</x:f>
        <x:v>327910000</x:v>
      </x:c>
      <x:c r="D27" s="666">
        <x:f t="shared" ref="D27:L27" si="3">D28+D29+D30</x:f>
        <x:v>245229884</x:v>
      </x:c>
      <x:c r="E27" s="665">
        <x:f t="shared" si="3"/>
        <x:v>228505481</x:v>
      </x:c>
      <x:c r="F27" s="664">
        <x:f t="shared" si="3"/>
        <x:v>16724403</x:v>
      </x:c>
      <x:c r="G27" s="666">
        <x:f t="shared" si="3"/>
        <x:v>29900000</x:v>
      </x:c>
      <x:c r="H27" s="665">
        <x:f t="shared" si="3"/>
        <x:v>25045742</x:v>
      </x:c>
      <x:c r="I27" s="664">
        <x:f t="shared" si="3"/>
        <x:v>4854258</x:v>
      </x:c>
      <x:c r="J27" s="666">
        <x:f t="shared" si="3"/>
        <x:v>18715000</x:v>
      </x:c>
      <x:c r="K27" s="665">
        <x:f t="shared" si="3"/>
        <x:v>5200000</x:v>
      </x:c>
      <x:c r="L27" s="664">
        <x:f t="shared" si="3"/>
        <x:v>28865116</x:v>
      </x:c>
      <x:c r="M27" s="833"/>
    </x:row>
    <x:row r="28" spans="1:13" s="689" customFormat="1" ht="20.100000000000001" customHeight="1">
      <x:c r="A28" s="834"/>
      <x:c r="B28" s="709" t="s">
        <x:v>117</x:v>
      </x:c>
      <x:c r="C28" s="661">
        <x:f>D28+G28+J28+K28+L28</x:f>
        <x:v>323634000</x:v>
      </x:c>
      <x:c r="D28" s="660">
        <x:v>242726884</x:v>
      </x:c>
      <x:c r="E28" s="659">
        <x:v>226478346</x:v>
      </x:c>
      <x:c r="F28" s="658">
        <x:v>16248538</x:v>
      </x:c>
      <x:c r="G28" s="660">
        <x:v>29900000</x:v>
      </x:c>
      <x:c r="H28" s="659">
        <x:v>25045742</x:v>
      </x:c>
      <x:c r="I28" s="658">
        <x:f>G28-H28</x:f>
        <x:v>4854258</x:v>
      </x:c>
      <x:c r="J28" s="660">
        <x:f>6713000+11572000</x:f>
        <x:v>18285000</x:v>
      </x:c>
      <x:c r="K28" s="659">
        <x:v>5000000</x:v>
      </x:c>
      <x:c r="L28" s="658">
        <x:f>39294116-11572000</x:f>
        <x:v>27722116</x:v>
      </x:c>
      <x:c r="M28" s="651"/>
    </x:row>
    <x:row r="29" spans="1:13" s="689" customFormat="1" ht="20.100000000000001" customHeight="1">
      <x:c r="A29" s="835" t="s">
        <x:v>454</x:v>
      </x:c>
      <x:c r="B29" s="709" t="s">
        <x:v>148</x:v>
      </x:c>
      <x:c r="C29" s="661">
        <x:f>D29+G29+J29+K29+L29</x:f>
        <x:v>4110000</x:v>
      </x:c>
      <x:c r="D29" s="660">
        <x:v>2367000</x:v>
      </x:c>
      <x:c r="E29" s="659">
        <x:v>1897046</x:v>
      </x:c>
      <x:c r="F29" s="658">
        <x:v>469954</x:v>
      </x:c>
      <x:c r="G29" s="660">
        <x:v>0</x:v>
      </x:c>
      <x:c r="H29" s="659">
        <x:v>0</x:v>
      </x:c>
      <x:c r="I29" s="658">
        <x:f>G29-H29</x:f>
        <x:v>0</x:v>
      </x:c>
      <x:c r="J29" s="660">
        <x:v>400000</x:v>
      </x:c>
      <x:c r="K29" s="659">
        <x:v>200000</x:v>
      </x:c>
      <x:c r="L29" s="658">
        <x:v>1143000</x:v>
      </x:c>
      <x:c r="M29" s="651"/>
    </x:row>
    <x:row r="30" spans="1:13" s="689" customFormat="1" ht="20.100000000000001" customHeight="1">
      <x:c r="A30" s="834"/>
      <x:c r="B30" s="842" t="s">
        <x:v>646</x:v>
      </x:c>
      <x:c r="C30" s="661">
        <x:f>D30+G30+J30+K30+L30</x:f>
        <x:v>166000</x:v>
      </x:c>
      <x:c r="D30" s="660">
        <x:v>136000</x:v>
      </x:c>
      <x:c r="E30" s="837">
        <x:v>130089</x:v>
      </x:c>
      <x:c r="F30" s="658">
        <x:v>5911</x:v>
      </x:c>
      <x:c r="G30" s="836">
        <x:v>0</x:v>
      </x:c>
      <x:c r="H30" s="659">
        <x:v>0</x:v>
      </x:c>
      <x:c r="I30" s="658">
        <x:f>G30-H30</x:f>
        <x:v>0</x:v>
      </x:c>
      <x:c r="J30" s="660">
        <x:v>30000</x:v>
      </x:c>
      <x:c r="K30" s="659">
        <x:v>0</x:v>
      </x:c>
      <x:c r="L30" s="658">
        <x:v>0</x:v>
      </x:c>
      <x:c r="M30" s="833"/>
    </x:row>
    <x:row r="31" spans="1:13" s="689" customFormat="1" ht="20.100000000000001" customHeight="1">
      <x:c r="A31" s="832"/>
      <x:c r="B31" s="831" t="s">
        <x:v>456</x:v>
      </x:c>
      <x:c r="C31" s="807">
        <x:f t="shared" ref="C31:L31" si="4">C27-C23</x:f>
        <x:v>0</x:v>
      </x:c>
      <x:c r="D31" s="806">
        <x:f t="shared" si="4"/>
        <x:v>0</x:v>
      </x:c>
      <x:c r="E31" s="805">
        <x:f t="shared" si="4"/>
        <x:v>0</x:v>
      </x:c>
      <x:c r="F31" s="804">
        <x:f t="shared" si="4"/>
        <x:v>0</x:v>
      </x:c>
      <x:c r="G31" s="806">
        <x:f t="shared" si="4"/>
        <x:v>0</x:v>
      </x:c>
      <x:c r="H31" s="805">
        <x:f t="shared" si="4"/>
        <x:v>3039683</x:v>
      </x:c>
      <x:c r="I31" s="804">
        <x:f t="shared" si="4"/>
        <x:v>-3039683</x:v>
      </x:c>
      <x:c r="J31" s="806">
        <x:f t="shared" si="4"/>
        <x:v>11572000</x:v>
      </x:c>
      <x:c r="K31" s="805">
        <x:f t="shared" si="4"/>
        <x:v>0</x:v>
      </x:c>
      <x:c r="L31" s="804">
        <x:f t="shared" si="4"/>
        <x:v>-11572000</x:v>
      </x:c>
      <x:c r="M31" s="830" t="s">
        <x:v>1374</x:v>
      </x:c>
    </x:row>
    <x:row r="32" spans="1:13" s="689" customFormat="1" ht="21" customHeight="1">
      <x:c r="A32" s="841" t="s">
        <x:v>1424</x:v>
      </x:c>
      <x:c r="B32" s="840" t="s">
        <x:v>1295</x:v>
      </x:c>
      <x:c r="C32" s="788">
        <x:v>92702000</x:v>
      </x:c>
      <x:c r="D32" s="786">
        <x:v>82569000</x:v>
      </x:c>
      <x:c r="E32" s="785">
        <x:v>81676694</x:v>
      </x:c>
      <x:c r="F32" s="784">
        <x:v>892306</x:v>
      </x:c>
      <x:c r="G32" s="786">
        <x:v>4833000</x:v>
      </x:c>
      <x:c r="H32" s="785">
        <x:v>1440258</x:v>
      </x:c>
      <x:c r="I32" s="784">
        <x:v>3392742</x:v>
      </x:c>
      <x:c r="J32" s="786">
        <x:v>5300000</x:v>
      </x:c>
      <x:c r="K32" s="785">
        <x:v>0</x:v>
      </x:c>
      <x:c r="L32" s="784">
        <x:v>0</x:v>
      </x:c>
      <x:c r="M32" s="839" t="s">
        <x:v>1668</x:v>
      </x:c>
    </x:row>
    <x:row r="33" spans="1:23" s="689" customFormat="1" ht="21" customHeight="1">
      <x:c r="A33" s="834" t="s">
        <x:v>1764</x:v>
      </x:c>
      <x:c r="B33" s="709" t="s">
        <x:v>117</x:v>
      </x:c>
      <x:c r="C33" s="676">
        <x:v>89975000</x:v>
      </x:c>
      <x:c r="D33" s="674">
        <x:v>80752000</x:v>
      </x:c>
      <x:c r="E33" s="659">
        <x:v>79859728</x:v>
      </x:c>
      <x:c r="F33" s="672">
        <x:v>892272</x:v>
      </x:c>
      <x:c r="G33" s="674">
        <x:v>3923000</x:v>
      </x:c>
      <x:c r="H33" s="673">
        <x:v>1169608</x:v>
      </x:c>
      <x:c r="I33" s="672">
        <x:v>2753392</x:v>
      </x:c>
      <x:c r="J33" s="660">
        <x:v>5300000</x:v>
      </x:c>
      <x:c r="K33" s="659">
        <x:v>0</x:v>
      </x:c>
      <x:c r="L33" s="658">
        <x:v>0</x:v>
      </x:c>
      <x:c r="M33" s="833" t="s">
        <x:v>1720</x:v>
      </x:c>
      <x:c r="W33" s="689" t="s">
        <x:v>405</x:v>
      </x:c>
    </x:row>
    <x:row r="34" spans="1:13" s="689" customFormat="1" ht="21" customHeight="1">
      <x:c r="A34" s="834" t="s">
        <x:v>1919</x:v>
      </x:c>
      <x:c r="B34" s="709" t="s">
        <x:v>148</x:v>
      </x:c>
      <x:c r="C34" s="661">
        <x:v>2642000</x:v>
      </x:c>
      <x:c r="D34" s="660">
        <x:v>1762000</x:v>
      </x:c>
      <x:c r="E34" s="659">
        <x:v>1762000</x:v>
      </x:c>
      <x:c r="F34" s="658">
        <x:v>0</x:v>
      </x:c>
      <x:c r="G34" s="660">
        <x:v>880000</x:v>
      </x:c>
      <x:c r="H34" s="659">
        <x:v>269800</x:v>
      </x:c>
      <x:c r="I34" s="658">
        <x:v>610200</x:v>
      </x:c>
      <x:c r="J34" s="660">
        <x:v>0</x:v>
      </x:c>
      <x:c r="K34" s="659">
        <x:v>0</x:v>
      </x:c>
      <x:c r="L34" s="658">
        <x:v>0</x:v>
      </x:c>
      <x:c r="M34" s="651"/>
    </x:row>
    <x:row r="35" spans="1:13" s="689" customFormat="1" ht="21" customHeight="1">
      <x:c r="A35" s="834" t="s">
        <x:v>1760</x:v>
      </x:c>
      <x:c r="B35" s="838" t="s">
        <x:v>646</x:v>
      </x:c>
      <x:c r="C35" s="844">
        <x:v>85000</x:v>
      </x:c>
      <x:c r="D35" s="836">
        <x:v>55000</x:v>
      </x:c>
      <x:c r="E35" s="837">
        <x:v>54966</x:v>
      </x:c>
      <x:c r="F35" s="843">
        <x:v>34</x:v>
      </x:c>
      <x:c r="G35" s="836">
        <x:v>30000</x:v>
      </x:c>
      <x:c r="H35" s="837">
        <x:v>850</x:v>
      </x:c>
      <x:c r="I35" s="843">
        <x:v>29150</x:v>
      </x:c>
      <x:c r="J35" s="660">
        <x:v>0</x:v>
      </x:c>
      <x:c r="K35" s="659">
        <x:v>0</x:v>
      </x:c>
      <x:c r="L35" s="658">
        <x:v>0</x:v>
      </x:c>
      <x:c r="M35" s="859"/>
    </x:row>
    <x:row r="36" spans="1:13" s="689" customFormat="1" ht="21" customHeight="1">
      <x:c r="A36" s="834" t="s">
        <x:v>1917</x:v>
      </x:c>
      <x:c r="B36" s="669" t="s">
        <x:v>1294</x:v>
      </x:c>
      <x:c r="C36" s="668">
        <x:f>D36+G36+J36+K36+L36</x:f>
        <x:v>91780000</x:v>
      </x:c>
      <x:c r="D36" s="666">
        <x:f t="shared" ref="D36:L36" si="5">D37+D38+D39</x:f>
        <x:v>82569000</x:v>
      </x:c>
      <x:c r="E36" s="665">
        <x:f t="shared" si="5"/>
        <x:v>81676694</x:v>
      </x:c>
      <x:c r="F36" s="664">
        <x:f t="shared" si="5"/>
        <x:v>892306</x:v>
      </x:c>
      <x:c r="G36" s="666">
        <x:f t="shared" si="5"/>
        <x:v>4833000</x:v>
      </x:c>
      <x:c r="H36" s="665">
        <x:f t="shared" si="5"/>
        <x:v>3920578</x:v>
      </x:c>
      <x:c r="I36" s="664">
        <x:f t="shared" si="5"/>
        <x:v>912422</x:v>
      </x:c>
      <x:c r="J36" s="666">
        <x:f t="shared" si="5"/>
        <x:v>4378000</x:v>
      </x:c>
      <x:c r="K36" s="665">
        <x:f t="shared" si="5"/>
        <x:v>0</x:v>
      </x:c>
      <x:c r="L36" s="664">
        <x:f t="shared" si="5"/>
        <x:v>0</x:v>
      </x:c>
      <x:c r="M36" s="833"/>
    </x:row>
    <x:row r="37" spans="1:13" s="689" customFormat="1" ht="21" customHeight="1">
      <x:c r="A37" s="834"/>
      <x:c r="B37" s="709" t="s">
        <x:v>117</x:v>
      </x:c>
      <x:c r="C37" s="661">
        <x:f>D37+G37+J37+K37+L37</x:f>
        <x:v>89053000</x:v>
      </x:c>
      <x:c r="D37" s="660">
        <x:v>80752000</x:v>
      </x:c>
      <x:c r="E37" s="659">
        <x:v>79859728</x:v>
      </x:c>
      <x:c r="F37" s="658">
        <x:v>892272</x:v>
      </x:c>
      <x:c r="G37" s="660">
        <x:v>3923000</x:v>
      </x:c>
      <x:c r="H37" s="659">
        <x:v>3378390</x:v>
      </x:c>
      <x:c r="I37" s="658">
        <x:f>G37-H37</x:f>
        <x:v>544610</x:v>
      </x:c>
      <x:c r="J37" s="660">
        <x:v>4378000</x:v>
      </x:c>
      <x:c r="K37" s="659">
        <x:v>0</x:v>
      </x:c>
      <x:c r="L37" s="658">
        <x:v>0</x:v>
      </x:c>
      <x:c r="M37" s="651"/>
    </x:row>
    <x:row r="38" spans="1:13" s="689" customFormat="1" ht="21" customHeight="1">
      <x:c r="A38" s="835" t="s">
        <x:v>454</x:v>
      </x:c>
      <x:c r="B38" s="709" t="s">
        <x:v>148</x:v>
      </x:c>
      <x:c r="C38" s="661">
        <x:f>D38+G38+J38+K38+L38</x:f>
        <x:v>2642000</x:v>
      </x:c>
      <x:c r="D38" s="660">
        <x:v>1762000</x:v>
      </x:c>
      <x:c r="E38" s="659">
        <x:v>1762000</x:v>
      </x:c>
      <x:c r="F38" s="658">
        <x:v>0</x:v>
      </x:c>
      <x:c r="G38" s="660">
        <x:v>880000</x:v>
      </x:c>
      <x:c r="H38" s="659">
        <x:v>539170</x:v>
      </x:c>
      <x:c r="I38" s="658">
        <x:f>G38-H38</x:f>
        <x:v>340830</x:v>
      </x:c>
      <x:c r="J38" s="660">
        <x:v>0</x:v>
      </x:c>
      <x:c r="K38" s="659">
        <x:v>0</x:v>
      </x:c>
      <x:c r="L38" s="658">
        <x:v>0</x:v>
      </x:c>
      <x:c r="M38" s="651"/>
    </x:row>
    <x:row r="39" spans="1:13" s="689" customFormat="1" ht="21" customHeight="1">
      <x:c r="A39" s="834"/>
      <x:c r="B39" s="842" t="s">
        <x:v>646</x:v>
      </x:c>
      <x:c r="C39" s="661">
        <x:f>D39+G39+J39+K39+L39</x:f>
        <x:v>85000</x:v>
      </x:c>
      <x:c r="D39" s="660">
        <x:v>55000</x:v>
      </x:c>
      <x:c r="E39" s="837">
        <x:v>54966</x:v>
      </x:c>
      <x:c r="F39" s="658">
        <x:v>34</x:v>
      </x:c>
      <x:c r="G39" s="836">
        <x:v>30000</x:v>
      </x:c>
      <x:c r="H39" s="659">
        <x:v>3018</x:v>
      </x:c>
      <x:c r="I39" s="658">
        <x:f>G39-H39</x:f>
        <x:v>26982</x:v>
      </x:c>
      <x:c r="J39" s="660">
        <x:v>0</x:v>
      </x:c>
      <x:c r="K39" s="659">
        <x:v>0</x:v>
      </x:c>
      <x:c r="L39" s="658">
        <x:v>0</x:v>
      </x:c>
      <x:c r="M39" s="833"/>
    </x:row>
    <x:row r="40" spans="1:13" s="689" customFormat="1" ht="21" customHeight="1">
      <x:c r="A40" s="832"/>
      <x:c r="B40" s="831" t="s">
        <x:v>456</x:v>
      </x:c>
      <x:c r="C40" s="807">
        <x:f t="shared" ref="C40:L40" si="6">C36-C32</x:f>
        <x:v>-922000</x:v>
      </x:c>
      <x:c r="D40" s="806">
        <x:f t="shared" si="6"/>
        <x:v>0</x:v>
      </x:c>
      <x:c r="E40" s="805">
        <x:f t="shared" si="6"/>
        <x:v>0</x:v>
      </x:c>
      <x:c r="F40" s="804">
        <x:f t="shared" si="6"/>
        <x:v>0</x:v>
      </x:c>
      <x:c r="G40" s="806">
        <x:f t="shared" si="6"/>
        <x:v>0</x:v>
      </x:c>
      <x:c r="H40" s="805">
        <x:f t="shared" si="6"/>
        <x:v>2480320</x:v>
      </x:c>
      <x:c r="I40" s="804">
        <x:f t="shared" si="6"/>
        <x:v>-2480320</x:v>
      </x:c>
      <x:c r="J40" s="806">
        <x:f t="shared" si="6"/>
        <x:v>-922000</x:v>
      </x:c>
      <x:c r="K40" s="805">
        <x:f t="shared" si="6"/>
        <x:v>0</x:v>
      </x:c>
      <x:c r="L40" s="804">
        <x:f t="shared" si="6"/>
        <x:v>0</x:v>
      </x:c>
      <x:c r="M40" s="830" t="s">
        <x:v>1374</x:v>
      </x:c>
    </x:row>
    <x:row r="41" spans="1:13" s="689" customFormat="1" ht="21" customHeight="1">
      <x:c r="A41" s="841" t="s">
        <x:v>1421</x:v>
      </x:c>
      <x:c r="B41" s="840" t="s">
        <x:v>1295</x:v>
      </x:c>
      <x:c r="C41" s="788">
        <x:v>260335000</x:v>
      </x:c>
      <x:c r="D41" s="786">
        <x:v>243993429</x:v>
      </x:c>
      <x:c r="E41" s="785">
        <x:v>236942767</x:v>
      </x:c>
      <x:c r="F41" s="784">
        <x:v>7050662</x:v>
      </x:c>
      <x:c r="G41" s="786">
        <x:v>9400000</x:v>
      </x:c>
      <x:c r="H41" s="785">
        <x:v>1213467</x:v>
      </x:c>
      <x:c r="I41" s="784">
        <x:v>8186533</x:v>
      </x:c>
      <x:c r="J41" s="786">
        <x:v>1500000</x:v>
      </x:c>
      <x:c r="K41" s="785">
        <x:v>3014000</x:v>
      </x:c>
      <x:c r="L41" s="784">
        <x:v>1493571</x:v>
      </x:c>
      <x:c r="M41" s="839" t="s">
        <x:v>1399</x:v>
      </x:c>
    </x:row>
    <x:row r="42" spans="1:13" s="689" customFormat="1" ht="21" customHeight="1">
      <x:c r="A42" s="834" t="s">
        <x:v>1762</x:v>
      </x:c>
      <x:c r="B42" s="709" t="s">
        <x:v>117</x:v>
      </x:c>
      <x:c r="C42" s="676">
        <x:v>251786000</x:v>
      </x:c>
      <x:c r="D42" s="674">
        <x:v>237372429</x:v>
      </x:c>
      <x:c r="E42" s="659">
        <x:v>230424847</x:v>
      </x:c>
      <x:c r="F42" s="672">
        <x:v>6947582</x:v>
      </x:c>
      <x:c r="G42" s="674">
        <x:v>8000000</x:v>
      </x:c>
      <x:c r="H42" s="673">
        <x:v>1213467</x:v>
      </x:c>
      <x:c r="I42" s="672">
        <x:v>6786533</x:v>
      </x:c>
      <x:c r="J42" s="660">
        <x:v>1000000</x:v>
      </x:c>
      <x:c r="K42" s="659">
        <x:v>3000000</x:v>
      </x:c>
      <x:c r="L42" s="658">
        <x:v>1479571</x:v>
      </x:c>
      <x:c r="M42" s="833" t="s">
        <x:v>1720</x:v>
      </x:c>
    </x:row>
    <x:row r="43" spans="1:13" s="689" customFormat="1" ht="21" customHeight="1">
      <x:c r="A43" s="834" t="s">
        <x:v>1926</x:v>
      </x:c>
      <x:c r="B43" s="709" t="s">
        <x:v>148</x:v>
      </x:c>
      <x:c r="C43" s="661">
        <x:v>8178000</x:v>
      </x:c>
      <x:c r="D43" s="660">
        <x:v>6278000</x:v>
      </x:c>
      <x:c r="E43" s="659">
        <x:v>6188000</x:v>
      </x:c>
      <x:c r="F43" s="658">
        <x:v>90000</x:v>
      </x:c>
      <x:c r="G43" s="660">
        <x:v>1400000</x:v>
      </x:c>
      <x:c r="H43" s="659">
        <x:v>0</x:v>
      </x:c>
      <x:c r="I43" s="658">
        <x:v>1400000</x:v>
      </x:c>
      <x:c r="J43" s="660">
        <x:v>500000</x:v>
      </x:c>
      <x:c r="K43" s="659">
        <x:v>0</x:v>
      </x:c>
      <x:c r="L43" s="658">
        <x:v>0</x:v>
      </x:c>
      <x:c r="M43" s="651"/>
    </x:row>
    <x:row r="44" spans="1:13" s="689" customFormat="1" ht="21" customHeight="1">
      <x:c r="A44" s="834" t="s">
        <x:v>1761</x:v>
      </x:c>
      <x:c r="B44" s="838" t="s">
        <x:v>646</x:v>
      </x:c>
      <x:c r="C44" s="844">
        <x:v>371000</x:v>
      </x:c>
      <x:c r="D44" s="836">
        <x:v>343000</x:v>
      </x:c>
      <x:c r="E44" s="837">
        <x:v>329920</x:v>
      </x:c>
      <x:c r="F44" s="843">
        <x:v>13080</x:v>
      </x:c>
      <x:c r="G44" s="836">
        <x:v>0</x:v>
      </x:c>
      <x:c r="H44" s="837">
        <x:v>0</x:v>
      </x:c>
      <x:c r="I44" s="843">
        <x:v>0</x:v>
      </x:c>
      <x:c r="J44" s="660">
        <x:v>0</x:v>
      </x:c>
      <x:c r="K44" s="659">
        <x:v>14000</x:v>
      </x:c>
      <x:c r="L44" s="658">
        <x:v>14000</x:v>
      </x:c>
      <x:c r="M44" s="859"/>
    </x:row>
    <x:row r="45" spans="1:13" s="689" customFormat="1" ht="21" customHeight="1">
      <x:c r="A45" s="834" t="s">
        <x:v>1916</x:v>
      </x:c>
      <x:c r="B45" s="669" t="s">
        <x:v>1294</x:v>
      </x:c>
      <x:c r="C45" s="668">
        <x:f>D45+G45+J45+K45+L45</x:f>
        <x:v>258901000</x:v>
      </x:c>
      <x:c r="D45" s="666">
        <x:f t="shared" ref="D45:L45" si="7">D46+D47+D48</x:f>
        <x:v>243993429</x:v>
      </x:c>
      <x:c r="E45" s="665">
        <x:f t="shared" si="7"/>
        <x:v>236942767</x:v>
      </x:c>
      <x:c r="F45" s="664">
        <x:f t="shared" si="7"/>
        <x:v>7050662</x:v>
      </x:c>
      <x:c r="G45" s="666">
        <x:f t="shared" si="7"/>
        <x:v>9400000</x:v>
      </x:c>
      <x:c r="H45" s="665">
        <x:f t="shared" si="7"/>
        <x:v>1413467</x:v>
      </x:c>
      <x:c r="I45" s="664">
        <x:f t="shared" si="7"/>
        <x:v>7986533</x:v>
      </x:c>
      <x:c r="J45" s="666">
        <x:f t="shared" si="7"/>
        <x:v>1000000</x:v>
      </x:c>
      <x:c r="K45" s="665">
        <x:f t="shared" si="7"/>
        <x:v>3014000</x:v>
      </x:c>
      <x:c r="L45" s="664">
        <x:f t="shared" si="7"/>
        <x:v>1493571</x:v>
      </x:c>
      <x:c r="M45" s="833"/>
    </x:row>
    <x:row r="46" spans="1:13" s="689" customFormat="1" ht="21" customHeight="1">
      <x:c r="A46" s="834"/>
      <x:c r="B46" s="709" t="s">
        <x:v>117</x:v>
      </x:c>
      <x:c r="C46" s="661">
        <x:f>D46+G46+J46+K46+L46</x:f>
        <x:v>250852000</x:v>
      </x:c>
      <x:c r="D46" s="660">
        <x:v>237372429</x:v>
      </x:c>
      <x:c r="E46" s="659">
        <x:v>230424847</x:v>
      </x:c>
      <x:c r="F46" s="658">
        <x:v>6947582</x:v>
      </x:c>
      <x:c r="G46" s="660">
        <x:v>8000000</x:v>
      </x:c>
      <x:c r="H46" s="659">
        <x:v>1213467</x:v>
      </x:c>
      <x:c r="I46" s="658">
        <x:f>G46-H46</x:f>
        <x:v>6786533</x:v>
      </x:c>
      <x:c r="J46" s="660">
        <x:v>1000000</x:v>
      </x:c>
      <x:c r="K46" s="659">
        <x:v>3000000</x:v>
      </x:c>
      <x:c r="L46" s="658">
        <x:v>1479571</x:v>
      </x:c>
      <x:c r="M46" s="651"/>
    </x:row>
    <x:row r="47" spans="1:13" s="689" customFormat="1" ht="21" customHeight="1">
      <x:c r="A47" s="835" t="s">
        <x:v>454</x:v>
      </x:c>
      <x:c r="B47" s="709" t="s">
        <x:v>148</x:v>
      </x:c>
      <x:c r="C47" s="661">
        <x:f>D47+G47+J47+K47+L47</x:f>
        <x:v>7678000</x:v>
      </x:c>
      <x:c r="D47" s="660">
        <x:v>6278000</x:v>
      </x:c>
      <x:c r="E47" s="659">
        <x:v>6188000</x:v>
      </x:c>
      <x:c r="F47" s="658">
        <x:v>90000</x:v>
      </x:c>
      <x:c r="G47" s="660">
        <x:v>1400000</x:v>
      </x:c>
      <x:c r="H47" s="659">
        <x:v>200000</x:v>
      </x:c>
      <x:c r="I47" s="658">
        <x:f>G47-H47</x:f>
        <x:v>1200000</x:v>
      </x:c>
      <x:c r="J47" s="660">
        <x:v>0</x:v>
      </x:c>
      <x:c r="K47" s="659">
        <x:v>0</x:v>
      </x:c>
      <x:c r="L47" s="658">
        <x:v>0</x:v>
      </x:c>
      <x:c r="M47" s="651"/>
    </x:row>
    <x:row r="48" spans="1:13" s="689" customFormat="1" ht="21" customHeight="1">
      <x:c r="A48" s="834"/>
      <x:c r="B48" s="842" t="s">
        <x:v>646</x:v>
      </x:c>
      <x:c r="C48" s="661">
        <x:f>D48+G48+J48+K48+L48</x:f>
        <x:v>371000</x:v>
      </x:c>
      <x:c r="D48" s="660">
        <x:v>343000</x:v>
      </x:c>
      <x:c r="E48" s="837">
        <x:v>329920</x:v>
      </x:c>
      <x:c r="F48" s="658">
        <x:v>13080</x:v>
      </x:c>
      <x:c r="G48" s="836">
        <x:v>0</x:v>
      </x:c>
      <x:c r="H48" s="659">
        <x:v>0</x:v>
      </x:c>
      <x:c r="I48" s="658">
        <x:v>0</x:v>
      </x:c>
      <x:c r="J48" s="660">
        <x:v>0</x:v>
      </x:c>
      <x:c r="K48" s="659">
        <x:v>14000</x:v>
      </x:c>
      <x:c r="L48" s="658">
        <x:v>14000</x:v>
      </x:c>
      <x:c r="M48" s="833"/>
    </x:row>
    <x:row r="49" spans="1:13" s="689" customFormat="1" ht="21" customHeight="1">
      <x:c r="A49" s="832"/>
      <x:c r="B49" s="831" t="s">
        <x:v>456</x:v>
      </x:c>
      <x:c r="C49" s="807">
        <x:f t="shared" ref="C49:L49" si="8">C45-C41</x:f>
        <x:v>-1434000</x:v>
      </x:c>
      <x:c r="D49" s="806">
        <x:f t="shared" si="8"/>
        <x:v>0</x:v>
      </x:c>
      <x:c r="E49" s="805">
        <x:f t="shared" si="8"/>
        <x:v>0</x:v>
      </x:c>
      <x:c r="F49" s="804">
        <x:f t="shared" si="8"/>
        <x:v>0</x:v>
      </x:c>
      <x:c r="G49" s="806">
        <x:f t="shared" si="8"/>
        <x:v>0</x:v>
      </x:c>
      <x:c r="H49" s="805">
        <x:f t="shared" si="8"/>
        <x:v>200000</x:v>
      </x:c>
      <x:c r="I49" s="804">
        <x:f t="shared" si="8"/>
        <x:v>-200000</x:v>
      </x:c>
      <x:c r="J49" s="806">
        <x:f t="shared" si="8"/>
        <x:v>-500000</x:v>
      </x:c>
      <x:c r="K49" s="805">
        <x:f t="shared" si="8"/>
        <x:v>0</x:v>
      </x:c>
      <x:c r="L49" s="804">
        <x:f t="shared" si="8"/>
        <x:v>0</x:v>
      </x:c>
      <x:c r="M49" s="830" t="s">
        <x:v>1374</x:v>
      </x:c>
    </x:row>
    <x:row r="50" spans="1:13" s="689" customFormat="1" ht="21" customHeight="1">
      <x:c r="A50" s="841" t="s">
        <x:v>1420</x:v>
      </x:c>
      <x:c r="B50" s="840" t="s">
        <x:v>1295</x:v>
      </x:c>
      <x:c r="C50" s="788">
        <x:v>99235000</x:v>
      </x:c>
      <x:c r="D50" s="786">
        <x:v>66732572</x:v>
      </x:c>
      <x:c r="E50" s="785">
        <x:v>54336967</x:v>
      </x:c>
      <x:c r="F50" s="784">
        <x:v>12395605</x:v>
      </x:c>
      <x:c r="G50" s="786">
        <x:v>1031000</x:v>
      </x:c>
      <x:c r="H50" s="785">
        <x:v>739045</x:v>
      </x:c>
      <x:c r="I50" s="784">
        <x:v>291955</x:v>
      </x:c>
      <x:c r="J50" s="786">
        <x:v>21914000</x:v>
      </x:c>
      <x:c r="K50" s="785">
        <x:v>0</x:v>
      </x:c>
      <x:c r="L50" s="784">
        <x:v>9557428</x:v>
      </x:c>
      <x:c r="M50" s="839" t="s">
        <x:v>1668</x:v>
      </x:c>
    </x:row>
    <x:row r="51" spans="1:13" s="689" customFormat="1" ht="21" customHeight="1">
      <x:c r="A51" s="834" t="s">
        <x:v>1759</x:v>
      </x:c>
      <x:c r="B51" s="709" t="s">
        <x:v>117</x:v>
      </x:c>
      <x:c r="C51" s="661">
        <x:v>95865000</x:v>
      </x:c>
      <x:c r="D51" s="674">
        <x:v>64837572</x:v>
      </x:c>
      <x:c r="E51" s="659">
        <x:v>53250972</x:v>
      </x:c>
      <x:c r="F51" s="672">
        <x:v>11586600</x:v>
      </x:c>
      <x:c r="G51" s="660">
        <x:v>326000</x:v>
      </x:c>
      <x:c r="H51" s="673">
        <x:v>284519</x:v>
      </x:c>
      <x:c r="I51" s="672">
        <x:v>41481</x:v>
      </x:c>
      <x:c r="J51" s="660">
        <x:v>21144000</x:v>
      </x:c>
      <x:c r="K51" s="659">
        <x:v>0</x:v>
      </x:c>
      <x:c r="L51" s="658">
        <x:v>9557428</x:v>
      </x:c>
      <x:c r="M51" s="833" t="s">
        <x:v>1720</x:v>
      </x:c>
    </x:row>
    <x:row r="52" spans="1:13" s="689" customFormat="1" ht="21" customHeight="1">
      <x:c r="A52" s="834" t="s">
        <x:v>1905</x:v>
      </x:c>
      <x:c r="B52" s="709" t="s">
        <x:v>148</x:v>
      </x:c>
      <x:c r="C52" s="661">
        <x:v>3210000</x:v>
      </x:c>
      <x:c r="D52" s="660">
        <x:v>1760000</x:v>
      </x:c>
      <x:c r="E52" s="659">
        <x:v>950995</x:v>
      </x:c>
      <x:c r="F52" s="658">
        <x:v>809005</x:v>
      </x:c>
      <x:c r="G52" s="660">
        <x:v>700000</x:v>
      </x:c>
      <x:c r="H52" s="659">
        <x:v>453000</x:v>
      </x:c>
      <x:c r="I52" s="658">
        <x:v>247000</x:v>
      </x:c>
      <x:c r="J52" s="660">
        <x:v>750000</x:v>
      </x:c>
      <x:c r="K52" s="659">
        <x:v>0</x:v>
      </x:c>
      <x:c r="L52" s="658">
        <x:v>0</x:v>
      </x:c>
      <x:c r="M52" s="651"/>
    </x:row>
    <x:row r="53" spans="1:13" s="689" customFormat="1" ht="21" customHeight="1">
      <x:c r="A53" s="834" t="s">
        <x:v>6</x:v>
      </x:c>
      <x:c r="B53" s="838" t="s">
        <x:v>646</x:v>
      </x:c>
      <x:c r="C53" s="844">
        <x:v>160000</x:v>
      </x:c>
      <x:c r="D53" s="836">
        <x:v>135000</x:v>
      </x:c>
      <x:c r="E53" s="659">
        <x:v>135000</x:v>
      </x:c>
      <x:c r="F53" s="843">
        <x:v>0</x:v>
      </x:c>
      <x:c r="G53" s="660">
        <x:v>5000</x:v>
      </x:c>
      <x:c r="H53" s="837">
        <x:v>1526</x:v>
      </x:c>
      <x:c r="I53" s="843">
        <x:v>3474</x:v>
      </x:c>
      <x:c r="J53" s="660">
        <x:v>20000</x:v>
      </x:c>
      <x:c r="K53" s="659">
        <x:v>0</x:v>
      </x:c>
      <x:c r="L53" s="658">
        <x:v>0</x:v>
      </x:c>
      <x:c r="M53" s="859"/>
    </x:row>
    <x:row r="54" spans="1:13" s="689" customFormat="1" ht="21" customHeight="1">
      <x:c r="A54" s="834" t="s">
        <x:v>1901</x:v>
      </x:c>
      <x:c r="B54" s="669" t="s">
        <x:v>1294</x:v>
      </x:c>
      <x:c r="C54" s="668">
        <x:f>D54+G54+J54+K54+L54</x:f>
        <x:v>99235000</x:v>
      </x:c>
      <x:c r="D54" s="666">
        <x:f t="shared" ref="D54:L54" si="9">D55+D56+D57</x:f>
        <x:v>66732572</x:v>
      </x:c>
      <x:c r="E54" s="665">
        <x:f t="shared" si="9"/>
        <x:v>54336967</x:v>
      </x:c>
      <x:c r="F54" s="664">
        <x:f t="shared" si="9"/>
        <x:v>12395605</x:v>
      </x:c>
      <x:c r="G54" s="666">
        <x:f t="shared" si="9"/>
        <x:v>1031000</x:v>
      </x:c>
      <x:c r="H54" s="665">
        <x:f t="shared" si="9"/>
        <x:v>1006926</x:v>
      </x:c>
      <x:c r="I54" s="664">
        <x:f t="shared" si="9"/>
        <x:v>24074</x:v>
      </x:c>
      <x:c r="J54" s="666">
        <x:f t="shared" si="9"/>
        <x:v>23343000</x:v>
      </x:c>
      <x:c r="K54" s="665">
        <x:f t="shared" si="9"/>
        <x:v>0</x:v>
      </x:c>
      <x:c r="L54" s="664">
        <x:f t="shared" si="9"/>
        <x:v>8128428</x:v>
      </x:c>
      <x:c r="M54" s="833"/>
    </x:row>
    <x:row r="55" spans="1:13" s="689" customFormat="1" ht="21" customHeight="1">
      <x:c r="A55" s="834"/>
      <x:c r="B55" s="709" t="s">
        <x:v>117</x:v>
      </x:c>
      <x:c r="C55" s="661">
        <x:f>D55+G55+J55+K55+L55</x:f>
        <x:v>95865000</x:v>
      </x:c>
      <x:c r="D55" s="660">
        <x:v>64837572</x:v>
      </x:c>
      <x:c r="E55" s="659">
        <x:v>53250972</x:v>
      </x:c>
      <x:c r="F55" s="658">
        <x:v>11586600</x:v>
      </x:c>
      <x:c r="G55" s="660">
        <x:v>326000</x:v>
      </x:c>
      <x:c r="H55" s="659">
        <x:v>326000</x:v>
      </x:c>
      <x:c r="I55" s="658">
        <x:f>G55-H55</x:f>
        <x:v>0</x:v>
      </x:c>
      <x:c r="J55" s="660">
        <x:f>21144000+1429000</x:f>
        <x:v>22573000</x:v>
      </x:c>
      <x:c r="K55" s="659">
        <x:v>0</x:v>
      </x:c>
      <x:c r="L55" s="658">
        <x:f>9557428-1429000</x:f>
        <x:v>8128428</x:v>
      </x:c>
      <x:c r="M55" s="651"/>
    </x:row>
    <x:row r="56" spans="1:13" s="689" customFormat="1" ht="21" customHeight="1">
      <x:c r="A56" s="835" t="s">
        <x:v>454</x:v>
      </x:c>
      <x:c r="B56" s="709" t="s">
        <x:v>148</x:v>
      </x:c>
      <x:c r="C56" s="661">
        <x:f>D56+G56+J56+K56+L56</x:f>
        <x:v>3210000</x:v>
      </x:c>
      <x:c r="D56" s="660">
        <x:v>1760000</x:v>
      </x:c>
      <x:c r="E56" s="659">
        <x:v>950995</x:v>
      </x:c>
      <x:c r="F56" s="658">
        <x:v>809005</x:v>
      </x:c>
      <x:c r="G56" s="660">
        <x:v>700000</x:v>
      </x:c>
      <x:c r="H56" s="659">
        <x:v>676191</x:v>
      </x:c>
      <x:c r="I56" s="658">
        <x:f>G56-H56</x:f>
        <x:v>23809</x:v>
      </x:c>
      <x:c r="J56" s="660">
        <x:v>750000</x:v>
      </x:c>
      <x:c r="K56" s="659">
        <x:v>0</x:v>
      </x:c>
      <x:c r="L56" s="658">
        <x:v>0</x:v>
      </x:c>
      <x:c r="M56" s="651"/>
    </x:row>
    <x:row r="57" spans="1:13" s="689" customFormat="1" ht="21" customHeight="1">
      <x:c r="A57" s="834"/>
      <x:c r="B57" s="842" t="s">
        <x:v>646</x:v>
      </x:c>
      <x:c r="C57" s="661">
        <x:f>D57+G57+J57+K57+L57</x:f>
        <x:v>160000</x:v>
      </x:c>
      <x:c r="D57" s="660">
        <x:v>135000</x:v>
      </x:c>
      <x:c r="E57" s="837">
        <x:v>135000</x:v>
      </x:c>
      <x:c r="F57" s="658">
        <x:v>0</x:v>
      </x:c>
      <x:c r="G57" s="836">
        <x:v>5000</x:v>
      </x:c>
      <x:c r="H57" s="659">
        <x:v>4735</x:v>
      </x:c>
      <x:c r="I57" s="658">
        <x:f>G57-H57</x:f>
        <x:v>265</x:v>
      </x:c>
      <x:c r="J57" s="660">
        <x:v>20000</x:v>
      </x:c>
      <x:c r="K57" s="659">
        <x:v>0</x:v>
      </x:c>
      <x:c r="L57" s="658"/>
      <x:c r="M57" s="833"/>
    </x:row>
    <x:row r="58" spans="1:13" s="689" customFormat="1" ht="21" customHeight="1">
      <x:c r="A58" s="832"/>
      <x:c r="B58" s="831" t="s">
        <x:v>456</x:v>
      </x:c>
      <x:c r="C58" s="807">
        <x:f t="shared" ref="C58:L58" si="10">C54-C50</x:f>
        <x:v>0</x:v>
      </x:c>
      <x:c r="D58" s="806">
        <x:f t="shared" si="10"/>
        <x:v>0</x:v>
      </x:c>
      <x:c r="E58" s="805">
        <x:f t="shared" si="10"/>
        <x:v>0</x:v>
      </x:c>
      <x:c r="F58" s="804">
        <x:f t="shared" si="10"/>
        <x:v>0</x:v>
      </x:c>
      <x:c r="G58" s="806">
        <x:f t="shared" si="10"/>
        <x:v>0</x:v>
      </x:c>
      <x:c r="H58" s="805">
        <x:f t="shared" si="10"/>
        <x:v>267881</x:v>
      </x:c>
      <x:c r="I58" s="804">
        <x:f t="shared" si="10"/>
        <x:v>-267881</x:v>
      </x:c>
      <x:c r="J58" s="806">
        <x:f t="shared" si="10"/>
        <x:v>1429000</x:v>
      </x:c>
      <x:c r="K58" s="805">
        <x:f t="shared" si="10"/>
        <x:v>0</x:v>
      </x:c>
      <x:c r="L58" s="804">
        <x:f t="shared" si="10"/>
        <x:v>-1429000</x:v>
      </x:c>
      <x:c r="M58" s="830" t="s">
        <x:v>1374</x:v>
      </x:c>
    </x:row>
    <x:row r="59" spans="1:13" s="689" customFormat="1" ht="21" customHeight="1">
      <x:c r="A59" s="841" t="s">
        <x:v>1417</x:v>
      </x:c>
      <x:c r="B59" s="840" t="s">
        <x:v>1295</x:v>
      </x:c>
      <x:c r="C59" s="788">
        <x:v>107543000</x:v>
      </x:c>
      <x:c r="D59" s="786">
        <x:v>40008286</x:v>
      </x:c>
      <x:c r="E59" s="785">
        <x:v>39938810</x:v>
      </x:c>
      <x:c r="F59" s="784">
        <x:v>69476</x:v>
      </x:c>
      <x:c r="G59" s="786">
        <x:v>12643000</x:v>
      </x:c>
      <x:c r="H59" s="785">
        <x:v>10428133</x:v>
      </x:c>
      <x:c r="I59" s="784">
        <x:v>2214867</x:v>
      </x:c>
      <x:c r="J59" s="786">
        <x:v>24174000</x:v>
      </x:c>
      <x:c r="K59" s="785">
        <x:v>0</x:v>
      </x:c>
      <x:c r="L59" s="784">
        <x:v>30717714</x:v>
      </x:c>
      <x:c r="M59" s="839" t="s">
        <x:v>1668</x:v>
      </x:c>
    </x:row>
    <x:row r="60" spans="1:13" s="689" customFormat="1" ht="21" customHeight="1">
      <x:c r="A60" s="834" t="s">
        <x:v>1912</x:v>
      </x:c>
      <x:c r="B60" s="709" t="s">
        <x:v>117</x:v>
      </x:c>
      <x:c r="C60" s="676">
        <x:v>103466000</x:v>
      </x:c>
      <x:c r="D60" s="674">
        <x:v>38377001</x:v>
      </x:c>
      <x:c r="E60" s="659">
        <x:v>38377001</x:v>
      </x:c>
      <x:c r="F60" s="672">
        <x:v>0</x:v>
      </x:c>
      <x:c r="G60" s="674">
        <x:v>11823000</x:v>
      </x:c>
      <x:c r="H60" s="673">
        <x:v>10428133</x:v>
      </x:c>
      <x:c r="I60" s="672">
        <x:v>1394867</x:v>
      </x:c>
      <x:c r="J60" s="660">
        <x:v>23250000</x:v>
      </x:c>
      <x:c r="K60" s="659">
        <x:v>0</x:v>
      </x:c>
      <x:c r="L60" s="658">
        <x:v>30015999</x:v>
      </x:c>
      <x:c r="M60" s="833" t="s">
        <x:v>1720</x:v>
      </x:c>
    </x:row>
    <x:row r="61" spans="1:13" s="689" customFormat="1" ht="21" customHeight="1">
      <x:c r="A61" s="834" t="s">
        <x:v>1423</x:v>
      </x:c>
      <x:c r="B61" s="709" t="s">
        <x:v>148</x:v>
      </x:c>
      <x:c r="C61" s="661">
        <x:v>3897000</x:v>
      </x:c>
      <x:c r="D61" s="660">
        <x:v>1530571</x:v>
      </x:c>
      <x:c r="E61" s="659">
        <x:v>1477429</x:v>
      </x:c>
      <x:c r="F61" s="658">
        <x:v>53142</x:v>
      </x:c>
      <x:c r="G61" s="660">
        <x:v>800000</x:v>
      </x:c>
      <x:c r="H61" s="659">
        <x:v>0</x:v>
      </x:c>
      <x:c r="I61" s="658">
        <x:v>800000</x:v>
      </x:c>
      <x:c r="J61" s="660">
        <x:v>900000</x:v>
      </x:c>
      <x:c r="K61" s="659">
        <x:v>0</x:v>
      </x:c>
      <x:c r="L61" s="658">
        <x:v>666429</x:v>
      </x:c>
      <x:c r="M61" s="651"/>
    </x:row>
    <x:row r="62" spans="1:13" s="689" customFormat="1" ht="21" customHeight="1">
      <x:c r="A62" s="834" t="s">
        <x:v>1915</x:v>
      </x:c>
      <x:c r="B62" s="838" t="s">
        <x:v>646</x:v>
      </x:c>
      <x:c r="C62" s="844">
        <x:v>180000</x:v>
      </x:c>
      <x:c r="D62" s="836">
        <x:v>100714</x:v>
      </x:c>
      <x:c r="E62" s="659">
        <x:v>84380</x:v>
      </x:c>
      <x:c r="F62" s="843">
        <x:v>16334</x:v>
      </x:c>
      <x:c r="G62" s="836">
        <x:v>20000</x:v>
      </x:c>
      <x:c r="H62" s="837">
        <x:v>0</x:v>
      </x:c>
      <x:c r="I62" s="843">
        <x:v>20000</x:v>
      </x:c>
      <x:c r="J62" s="660">
        <x:v>24000</x:v>
      </x:c>
      <x:c r="K62" s="659">
        <x:v>0</x:v>
      </x:c>
      <x:c r="L62" s="658">
        <x:v>35286</x:v>
      </x:c>
      <x:c r="M62" s="859"/>
    </x:row>
    <x:row r="63" spans="1:13" s="689" customFormat="1" ht="21" customHeight="1">
      <x:c r="A63" s="834" t="s">
        <x:v>1904</x:v>
      </x:c>
      <x:c r="B63" s="669" t="s">
        <x:v>1294</x:v>
      </x:c>
      <x:c r="C63" s="668">
        <x:f>D63+G63+J63+K63+L63</x:f>
        <x:v>107543000</x:v>
      </x:c>
      <x:c r="D63" s="666">
        <x:f t="shared" ref="D63:L63" si="11">D64+D65+D66</x:f>
        <x:v>40008286</x:v>
      </x:c>
      <x:c r="E63" s="665">
        <x:f t="shared" si="11"/>
        <x:v>39938810</x:v>
      </x:c>
      <x:c r="F63" s="664">
        <x:f t="shared" si="11"/>
        <x:v>69476</x:v>
      </x:c>
      <x:c r="G63" s="666">
        <x:f t="shared" si="11"/>
        <x:v>12643000</x:v>
      </x:c>
      <x:c r="H63" s="665">
        <x:f t="shared" si="11"/>
        <x:v>12340194</x:v>
      </x:c>
      <x:c r="I63" s="664">
        <x:f t="shared" si="11"/>
        <x:v>302806</x:v>
      </x:c>
      <x:c r="J63" s="666">
        <x:f t="shared" si="11"/>
        <x:v>21589000</x:v>
      </x:c>
      <x:c r="K63" s="665">
        <x:f t="shared" si="11"/>
        <x:v>0</x:v>
      </x:c>
      <x:c r="L63" s="664">
        <x:f t="shared" si="11"/>
        <x:v>33302714</x:v>
      </x:c>
      <x:c r="M63" s="833"/>
    </x:row>
    <x:row r="64" spans="1:13" s="689" customFormat="1" ht="21" customHeight="1">
      <x:c r="A64" s="834"/>
      <x:c r="B64" s="709" t="s">
        <x:v>117</x:v>
      </x:c>
      <x:c r="C64" s="661">
        <x:f>D64+G64+J64+K64+L64</x:f>
        <x:v>103466000</x:v>
      </x:c>
      <x:c r="D64" s="660">
        <x:v>38377001</x:v>
      </x:c>
      <x:c r="E64" s="659">
        <x:v>38377001</x:v>
      </x:c>
      <x:c r="F64" s="658">
        <x:v>0</x:v>
      </x:c>
      <x:c r="G64" s="660">
        <x:v>11823000</x:v>
      </x:c>
      <x:c r="H64" s="659">
        <x:v>11817224</x:v>
      </x:c>
      <x:c r="I64" s="658">
        <x:f>G64-H64</x:f>
        <x:v>5776</x:v>
      </x:c>
      <x:c r="J64" s="660">
        <x:f>23250000-2285000</x:f>
        <x:v>20965000</x:v>
      </x:c>
      <x:c r="K64" s="659">
        <x:v>0</x:v>
      </x:c>
      <x:c r="L64" s="658">
        <x:f>30015999+2285000</x:f>
        <x:v>32300999</x:v>
      </x:c>
      <x:c r="M64" s="651"/>
    </x:row>
    <x:row r="65" spans="1:13" s="689" customFormat="1" ht="21" customHeight="1">
      <x:c r="A65" s="835" t="s">
        <x:v>454</x:v>
      </x:c>
      <x:c r="B65" s="709" t="s">
        <x:v>148</x:v>
      </x:c>
      <x:c r="C65" s="661">
        <x:f>D65+G65+J65+K65+L65</x:f>
        <x:v>3897000</x:v>
      </x:c>
      <x:c r="D65" s="660">
        <x:v>1530571</x:v>
      </x:c>
      <x:c r="E65" s="659">
        <x:v>1477429</x:v>
      </x:c>
      <x:c r="F65" s="658">
        <x:v>53142</x:v>
      </x:c>
      <x:c r="G65" s="660">
        <x:v>800000</x:v>
      </x:c>
      <x:c r="H65" s="659">
        <x:v>522858</x:v>
      </x:c>
      <x:c r="I65" s="658">
        <x:f>G65-H65</x:f>
        <x:v>277142</x:v>
      </x:c>
      <x:c r="J65" s="660">
        <x:v>600000</x:v>
      </x:c>
      <x:c r="K65" s="659">
        <x:v>0</x:v>
      </x:c>
      <x:c r="L65" s="658">
        <x:f>666429+300000</x:f>
        <x:v>966429</x:v>
      </x:c>
      <x:c r="M65" s="651"/>
    </x:row>
    <x:row r="66" spans="1:13" s="689" customFormat="1" ht="21" customHeight="1">
      <x:c r="A66" s="834"/>
      <x:c r="B66" s="842" t="s">
        <x:v>646</x:v>
      </x:c>
      <x:c r="C66" s="661">
        <x:f>D66+G66+J66+K66+L66</x:f>
        <x:v>180000</x:v>
      </x:c>
      <x:c r="D66" s="660">
        <x:v>100714</x:v>
      </x:c>
      <x:c r="E66" s="837">
        <x:v>84380</x:v>
      </x:c>
      <x:c r="F66" s="658">
        <x:v>16334</x:v>
      </x:c>
      <x:c r="G66" s="836">
        <x:v>20000</x:v>
      </x:c>
      <x:c r="H66" s="659">
        <x:v>112</x:v>
      </x:c>
      <x:c r="I66" s="658">
        <x:f>G66-H66</x:f>
        <x:v>19888</x:v>
      </x:c>
      <x:c r="J66" s="660">
        <x:v>24000</x:v>
      </x:c>
      <x:c r="K66" s="659">
        <x:v>0</x:v>
      </x:c>
      <x:c r="L66" s="658">
        <x:v>35286</x:v>
      </x:c>
      <x:c r="M66" s="833"/>
    </x:row>
    <x:row r="67" spans="1:13" s="689" customFormat="1" ht="21" customHeight="1">
      <x:c r="A67" s="832"/>
      <x:c r="B67" s="831" t="s">
        <x:v>456</x:v>
      </x:c>
      <x:c r="C67" s="807">
        <x:f t="shared" ref="C67:L67" si="12">C63-C59</x:f>
        <x:v>0</x:v>
      </x:c>
      <x:c r="D67" s="806">
        <x:f t="shared" si="12"/>
        <x:v>0</x:v>
      </x:c>
      <x:c r="E67" s="805">
        <x:f t="shared" si="12"/>
        <x:v>0</x:v>
      </x:c>
      <x:c r="F67" s="804">
        <x:f t="shared" si="12"/>
        <x:v>0</x:v>
      </x:c>
      <x:c r="G67" s="806">
        <x:f t="shared" si="12"/>
        <x:v>0</x:v>
      </x:c>
      <x:c r="H67" s="805">
        <x:f t="shared" si="12"/>
        <x:v>1912061</x:v>
      </x:c>
      <x:c r="I67" s="804">
        <x:f t="shared" si="12"/>
        <x:v>-1912061</x:v>
      </x:c>
      <x:c r="J67" s="806">
        <x:f t="shared" si="12"/>
        <x:v>-2585000</x:v>
      </x:c>
      <x:c r="K67" s="805">
        <x:f t="shared" si="12"/>
        <x:v>0</x:v>
      </x:c>
      <x:c r="L67" s="804">
        <x:f t="shared" si="12"/>
        <x:v>2585000</x:v>
      </x:c>
      <x:c r="M67" s="830" t="s">
        <x:v>1374</x:v>
      </x:c>
    </x:row>
    <x:row r="68" spans="1:13" s="689" customFormat="1" ht="21" customHeight="1">
      <x:c r="A68" s="841" t="s">
        <x:v>1415</x:v>
      </x:c>
      <x:c r="B68" s="840" t="s">
        <x:v>1295</x:v>
      </x:c>
      <x:c r="C68" s="788">
        <x:v>141845000</x:v>
      </x:c>
      <x:c r="D68" s="786">
        <x:v>59876286</x:v>
      </x:c>
      <x:c r="E68" s="785">
        <x:v>58029983</x:v>
      </x:c>
      <x:c r="F68" s="784">
        <x:v>1846303</x:v>
      </x:c>
      <x:c r="G68" s="786">
        <x:v>40286000</x:v>
      </x:c>
      <x:c r="H68" s="785">
        <x:v>31600000</x:v>
      </x:c>
      <x:c r="I68" s="784">
        <x:v>8686000</x:v>
      </x:c>
      <x:c r="J68" s="786">
        <x:v>6429000</x:v>
      </x:c>
      <x:c r="K68" s="785">
        <x:v>0</x:v>
      </x:c>
      <x:c r="L68" s="784">
        <x:v>35253714</x:v>
      </x:c>
      <x:c r="M68" s="839" t="s">
        <x:v>1668</x:v>
      </x:c>
    </x:row>
    <x:row r="69" spans="1:13" s="689" customFormat="1" ht="21" customHeight="1">
      <x:c r="A69" s="834" t="s">
        <x:v>1754</x:v>
      </x:c>
      <x:c r="B69" s="709" t="s">
        <x:v>117</x:v>
      </x:c>
      <x:c r="C69" s="661">
        <x:v>136204000</x:v>
      </x:c>
      <x:c r="D69" s="674">
        <x:v>59446286</x:v>
      </x:c>
      <x:c r="E69" s="659">
        <x:v>57808115</x:v>
      </x:c>
      <x:c r="F69" s="672">
        <x:v>1638171</x:v>
      </x:c>
      <x:c r="G69" s="660">
        <x:v>40000000</x:v>
      </x:c>
      <x:c r="H69" s="673">
        <x:v>31600000</x:v>
      </x:c>
      <x:c r="I69" s="672">
        <x:v>8400000</x:v>
      </x:c>
      <x:c r="J69" s="660">
        <x:v>5741000</x:v>
      </x:c>
      <x:c r="K69" s="659">
        <x:v>0</x:v>
      </x:c>
      <x:c r="L69" s="658">
        <x:v>31016714</x:v>
      </x:c>
      <x:c r="M69" s="833" t="s">
        <x:v>1720</x:v>
      </x:c>
    </x:row>
    <x:row r="70" spans="1:13" s="689" customFormat="1" ht="21" customHeight="1">
      <x:c r="A70" s="834" t="s">
        <x:v>1903</x:v>
      </x:c>
      <x:c r="B70" s="709" t="s">
        <x:v>148</x:v>
      </x:c>
      <x:c r="C70" s="661">
        <x:v>5528000</x:v>
      </x:c>
      <x:c r="D70" s="660">
        <x:v>400000</x:v>
      </x:c>
      <x:c r="E70" s="659">
        <x:v>200000</x:v>
      </x:c>
      <x:c r="F70" s="658">
        <x:v>200000</x:v>
      </x:c>
      <x:c r="G70" s="660">
        <x:v>286000</x:v>
      </x:c>
      <x:c r="H70" s="659">
        <x:v>0</x:v>
      </x:c>
      <x:c r="I70" s="658">
        <x:v>286000</x:v>
      </x:c>
      <x:c r="J70" s="660">
        <x:v>658000</x:v>
      </x:c>
      <x:c r="K70" s="659">
        <x:v>0</x:v>
      </x:c>
      <x:c r="L70" s="658">
        <x:v>4184000</x:v>
      </x:c>
      <x:c r="M70" s="651"/>
    </x:row>
    <x:row r="71" spans="1:13" s="689" customFormat="1" ht="21" customHeight="1">
      <x:c r="A71" s="834" t="s">
        <x:v>1753</x:v>
      </x:c>
      <x:c r="B71" s="838" t="s">
        <x:v>646</x:v>
      </x:c>
      <x:c r="C71" s="844">
        <x:v>113000</x:v>
      </x:c>
      <x:c r="D71" s="836">
        <x:v>30000</x:v>
      </x:c>
      <x:c r="E71" s="659">
        <x:v>21868</x:v>
      </x:c>
      <x:c r="F71" s="843">
        <x:v>8132</x:v>
      </x:c>
      <x:c r="G71" s="836">
        <x:v>0</x:v>
      </x:c>
      <x:c r="H71" s="837">
        <x:v>0</x:v>
      </x:c>
      <x:c r="I71" s="843">
        <x:v>0</x:v>
      </x:c>
      <x:c r="J71" s="660">
        <x:v>30000</x:v>
      </x:c>
      <x:c r="K71" s="659">
        <x:v>0</x:v>
      </x:c>
      <x:c r="L71" s="658">
        <x:v>53000</x:v>
      </x:c>
      <x:c r="M71" s="859"/>
    </x:row>
    <x:row r="72" spans="1:13" s="689" customFormat="1" ht="21" customHeight="1">
      <x:c r="A72" s="834" t="s">
        <x:v>1918</x:v>
      </x:c>
      <x:c r="B72" s="669" t="s">
        <x:v>1294</x:v>
      </x:c>
      <x:c r="C72" s="668">
        <x:f>D72+G72+J72+K72+L72</x:f>
        <x:v>153419000</x:v>
      </x:c>
      <x:c r="D72" s="666">
        <x:f t="shared" ref="D72:L72" si="13">D73+D74+D75</x:f>
        <x:v>59876286</x:v>
      </x:c>
      <x:c r="E72" s="665">
        <x:f t="shared" si="13"/>
        <x:v>58029983</x:v>
      </x:c>
      <x:c r="F72" s="664">
        <x:f t="shared" si="13"/>
        <x:v>1846303</x:v>
      </x:c>
      <x:c r="G72" s="666">
        <x:f t="shared" si="13"/>
        <x:v>40286000</x:v>
      </x:c>
      <x:c r="H72" s="665">
        <x:f t="shared" si="13"/>
        <x:v>40077410</x:v>
      </x:c>
      <x:c r="I72" s="664">
        <x:f t="shared" si="13"/>
        <x:v>208590</x:v>
      </x:c>
      <x:c r="J72" s="666">
        <x:f t="shared" si="13"/>
        <x:v>5143000</x:v>
      </x:c>
      <x:c r="K72" s="665">
        <x:f t="shared" si="13"/>
        <x:v>0</x:v>
      </x:c>
      <x:c r="L72" s="664">
        <x:f t="shared" si="13"/>
        <x:v>48113714</x:v>
      </x:c>
      <x:c r="M72" s="833"/>
    </x:row>
    <x:row r="73" spans="1:13" s="689" customFormat="1" ht="21" customHeight="1">
      <x:c r="A73" s="834"/>
      <x:c r="B73" s="709" t="s">
        <x:v>117</x:v>
      </x:c>
      <x:c r="C73" s="661">
        <x:f>D73+G73+J73+K73+L73</x:f>
        <x:v>147778000</x:v>
      </x:c>
      <x:c r="D73" s="660">
        <x:v>59446286</x:v>
      </x:c>
      <x:c r="E73" s="659">
        <x:v>57808115</x:v>
      </x:c>
      <x:c r="F73" s="658">
        <x:v>1638171</x:v>
      </x:c>
      <x:c r="G73" s="660">
        <x:v>40000000</x:v>
      </x:c>
      <x:c r="H73" s="659">
        <x:v>40000000</x:v>
      </x:c>
      <x:c r="I73" s="658">
        <x:f>G73-H73</x:f>
        <x:v>0</x:v>
      </x:c>
      <x:c r="J73" s="660">
        <x:f>4455000</x:f>
        <x:v>4455000</x:v>
      </x:c>
      <x:c r="K73" s="659">
        <x:v>0</x:v>
      </x:c>
      <x:c r="L73" s="658">
        <x:f>31016714+12860000</x:f>
        <x:v>43876714</x:v>
      </x:c>
      <x:c r="M73" s="651"/>
    </x:row>
    <x:row r="74" spans="1:13" s="689" customFormat="1" ht="21" customHeight="1">
      <x:c r="A74" s="835" t="s">
        <x:v>454</x:v>
      </x:c>
      <x:c r="B74" s="709" t="s">
        <x:v>148</x:v>
      </x:c>
      <x:c r="C74" s="661">
        <x:f>D74+G74+J74+K74+L74</x:f>
        <x:v>5528000</x:v>
      </x:c>
      <x:c r="D74" s="660">
        <x:v>400000</x:v>
      </x:c>
      <x:c r="E74" s="659">
        <x:v>200000</x:v>
      </x:c>
      <x:c r="F74" s="658">
        <x:v>200000</x:v>
      </x:c>
      <x:c r="G74" s="660">
        <x:v>286000</x:v>
      </x:c>
      <x:c r="H74" s="659">
        <x:v>77410</x:v>
      </x:c>
      <x:c r="I74" s="658">
        <x:f>G74-H74</x:f>
        <x:v>208590</x:v>
      </x:c>
      <x:c r="J74" s="660">
        <x:v>658000</x:v>
      </x:c>
      <x:c r="K74" s="659">
        <x:v>0</x:v>
      </x:c>
      <x:c r="L74" s="658">
        <x:v>4184000</x:v>
      </x:c>
      <x:c r="M74" s="651"/>
    </x:row>
    <x:row r="75" spans="1:13" s="689" customFormat="1" ht="21" customHeight="1">
      <x:c r="A75" s="834"/>
      <x:c r="B75" s="842" t="s">
        <x:v>646</x:v>
      </x:c>
      <x:c r="C75" s="661">
        <x:f>D75+G75+J75+K75+L75</x:f>
        <x:v>113000</x:v>
      </x:c>
      <x:c r="D75" s="660">
        <x:v>30000</x:v>
      </x:c>
      <x:c r="E75" s="837">
        <x:v>21868</x:v>
      </x:c>
      <x:c r="F75" s="658">
        <x:v>8132</x:v>
      </x:c>
      <x:c r="G75" s="836">
        <x:v>0</x:v>
      </x:c>
      <x:c r="H75" s="659">
        <x:v>0</x:v>
      </x:c>
      <x:c r="I75" s="658">
        <x:f>G75-H75</x:f>
        <x:v>0</x:v>
      </x:c>
      <x:c r="J75" s="660">
        <x:v>30000</x:v>
      </x:c>
      <x:c r="K75" s="659">
        <x:v>0</x:v>
      </x:c>
      <x:c r="L75" s="658">
        <x:v>53000</x:v>
      </x:c>
      <x:c r="M75" s="833"/>
    </x:row>
    <x:row r="76" spans="1:13" s="689" customFormat="1" ht="21" customHeight="1">
      <x:c r="A76" s="832"/>
      <x:c r="B76" s="831" t="s">
        <x:v>456</x:v>
      </x:c>
      <x:c r="C76" s="807">
        <x:f t="shared" ref="C76:L76" si="14">C72-C68</x:f>
        <x:v>11574000</x:v>
      </x:c>
      <x:c r="D76" s="806">
        <x:f t="shared" si="14"/>
        <x:v>0</x:v>
      </x:c>
      <x:c r="E76" s="805">
        <x:f t="shared" si="14"/>
        <x:v>0</x:v>
      </x:c>
      <x:c r="F76" s="804">
        <x:f t="shared" si="14"/>
        <x:v>0</x:v>
      </x:c>
      <x:c r="G76" s="806">
        <x:f t="shared" si="14"/>
        <x:v>0</x:v>
      </x:c>
      <x:c r="H76" s="805">
        <x:f t="shared" si="14"/>
        <x:v>8477410</x:v>
      </x:c>
      <x:c r="I76" s="804">
        <x:f t="shared" si="14"/>
        <x:v>-8477410</x:v>
      </x:c>
      <x:c r="J76" s="806">
        <x:f t="shared" si="14"/>
        <x:v>-1286000</x:v>
      </x:c>
      <x:c r="K76" s="805">
        <x:f t="shared" si="14"/>
        <x:v>0</x:v>
      </x:c>
      <x:c r="L76" s="804">
        <x:f t="shared" si="14"/>
        <x:v>12860000</x:v>
      </x:c>
      <x:c r="M76" s="830" t="s">
        <x:v>1374</x:v>
      </x:c>
    </x:row>
    <x:row r="77" spans="1:13" s="689" customFormat="1" ht="21" customHeight="1">
      <x:c r="A77" s="841" t="s">
        <x:v>1899</x:v>
      </x:c>
      <x:c r="B77" s="840" t="s">
        <x:v>1295</x:v>
      </x:c>
      <x:c r="C77" s="788">
        <x:v>102445000</x:v>
      </x:c>
      <x:c r="D77" s="786">
        <x:v>23387714</x:v>
      </x:c>
      <x:c r="E77" s="785">
        <x:v>21261598</x:v>
      </x:c>
      <x:c r="F77" s="784">
        <x:v>2126116</x:v>
      </x:c>
      <x:c r="G77" s="786">
        <x:v>7836000</x:v>
      </x:c>
      <x:c r="H77" s="785">
        <x:v>4000000</x:v>
      </x:c>
      <x:c r="I77" s="784">
        <x:v>3836000</x:v>
      </x:c>
      <x:c r="J77" s="786">
        <x:v>8571000</x:v>
      </x:c>
      <x:c r="K77" s="785">
        <x:v>0</x:v>
      </x:c>
      <x:c r="L77" s="784">
        <x:v>62650286</x:v>
      </x:c>
      <x:c r="M77" s="839" t="s">
        <x:v>1668</x:v>
      </x:c>
    </x:row>
    <x:row r="78" spans="1:13" s="689" customFormat="1" ht="21" customHeight="1">
      <x:c r="A78" s="834" t="s">
        <x:v>1900</x:v>
      </x:c>
      <x:c r="B78" s="709" t="s">
        <x:v>117</x:v>
      </x:c>
      <x:c r="C78" s="661">
        <x:v>98510000</x:v>
      </x:c>
      <x:c r="D78" s="674">
        <x:v>23168914</x:v>
      </x:c>
      <x:c r="E78" s="659">
        <x:v>21049926</x:v>
      </x:c>
      <x:c r="F78" s="672">
        <x:v>2118988</x:v>
      </x:c>
      <x:c r="G78" s="660">
        <x:v>7836000</x:v>
      </x:c>
      <x:c r="H78" s="673">
        <x:v>4000000</x:v>
      </x:c>
      <x:c r="I78" s="672">
        <x:v>3836000</x:v>
      </x:c>
      <x:c r="J78" s="660">
        <x:v>7236000</x:v>
      </x:c>
      <x:c r="K78" s="659">
        <x:v>0</x:v>
      </x:c>
      <x:c r="L78" s="658">
        <x:v>60269086</x:v>
      </x:c>
      <x:c r="M78" s="833" t="s">
        <x:v>1720</x:v>
      </x:c>
    </x:row>
    <x:row r="79" spans="1:13" s="689" customFormat="1" ht="21" customHeight="1">
      <x:c r="A79" s="834" t="s">
        <x:v>1871</x:v>
      </x:c>
      <x:c r="B79" s="709" t="s">
        <x:v>148</x:v>
      </x:c>
      <x:c r="C79" s="661">
        <x:v>3773000</x:v>
      </x:c>
      <x:c r="D79" s="660">
        <x:v>200000</x:v>
      </x:c>
      <x:c r="E79" s="659">
        <x:v>200000</x:v>
      </x:c>
      <x:c r="F79" s="658">
        <x:v>0</x:v>
      </x:c>
      <x:c r="G79" s="660">
        <x:v>0</x:v>
      </x:c>
      <x:c r="H79" s="659">
        <x:v>0</x:v>
      </x:c>
      <x:c r="I79" s="658">
        <x:v>0</x:v>
      </x:c>
      <x:c r="J79" s="660">
        <x:v>1305000</x:v>
      </x:c>
      <x:c r="K79" s="659">
        <x:v>0</x:v>
      </x:c>
      <x:c r="L79" s="658">
        <x:v>2268000</x:v>
      </x:c>
      <x:c r="M79" s="651"/>
    </x:row>
    <x:row r="80" spans="1:13" s="689" customFormat="1" ht="21" customHeight="1">
      <x:c r="A80" s="834" t="s">
        <x:v>1757</x:v>
      </x:c>
      <x:c r="B80" s="838" t="s">
        <x:v>646</x:v>
      </x:c>
      <x:c r="C80" s="844">
        <x:v>162000</x:v>
      </x:c>
      <x:c r="D80" s="836">
        <x:v>18800</x:v>
      </x:c>
      <x:c r="E80" s="659">
        <x:v>11672</x:v>
      </x:c>
      <x:c r="F80" s="843">
        <x:v>7128</x:v>
      </x:c>
      <x:c r="G80" s="660">
        <x:v>0</x:v>
      </x:c>
      <x:c r="H80" s="837">
        <x:v>0</x:v>
      </x:c>
      <x:c r="I80" s="843">
        <x:v>0</x:v>
      </x:c>
      <x:c r="J80" s="660">
        <x:v>30000</x:v>
      </x:c>
      <x:c r="K80" s="659">
        <x:v>0</x:v>
      </x:c>
      <x:c r="L80" s="658">
        <x:v>113200</x:v>
      </x:c>
      <x:c r="M80" s="859"/>
    </x:row>
    <x:row r="81" spans="1:13" s="689" customFormat="1" ht="21" customHeight="1">
      <x:c r="A81" s="834" t="s">
        <x:v>1902</x:v>
      </x:c>
      <x:c r="B81" s="669" t="s">
        <x:v>1294</x:v>
      </x:c>
      <x:c r="C81" s="668">
        <x:f>D81+G81+J81+K81+L81</x:f>
        <x:v>102445000</x:v>
      </x:c>
      <x:c r="D81" s="666">
        <x:f t="shared" ref="D81:L81" si="15">D82+D83+D84</x:f>
        <x:v>23387714</x:v>
      </x:c>
      <x:c r="E81" s="665">
        <x:f t="shared" si="15"/>
        <x:v>21261598</x:v>
      </x:c>
      <x:c r="F81" s="664">
        <x:f t="shared" si="15"/>
        <x:v>2126116</x:v>
      </x:c>
      <x:c r="G81" s="666">
        <x:f t="shared" si="15"/>
        <x:v>7836000</x:v>
      </x:c>
      <x:c r="H81" s="665">
        <x:f t="shared" si="15"/>
        <x:v>7550000</x:v>
      </x:c>
      <x:c r="I81" s="664">
        <x:f t="shared" si="15"/>
        <x:v>286000</x:v>
      </x:c>
      <x:c r="J81" s="666">
        <x:f t="shared" si="15"/>
        <x:v>5713000</x:v>
      </x:c>
      <x:c r="K81" s="665">
        <x:f t="shared" si="15"/>
        <x:v>0</x:v>
      </x:c>
      <x:c r="L81" s="664">
        <x:f t="shared" si="15"/>
        <x:v>65508286</x:v>
      </x:c>
      <x:c r="M81" s="833"/>
    </x:row>
    <x:row r="82" spans="1:13" s="689" customFormat="1" ht="21" customHeight="1">
      <x:c r="A82" s="834"/>
      <x:c r="B82" s="709" t="s">
        <x:v>117</x:v>
      </x:c>
      <x:c r="C82" s="661">
        <x:f>D82+G82+J82+K82+L82</x:f>
        <x:v>98510000</x:v>
      </x:c>
      <x:c r="D82" s="660">
        <x:v>23168914</x:v>
      </x:c>
      <x:c r="E82" s="659">
        <x:v>21049926</x:v>
      </x:c>
      <x:c r="F82" s="658">
        <x:v>2118988</x:v>
      </x:c>
      <x:c r="G82" s="660">
        <x:v>7836000</x:v>
      </x:c>
      <x:c r="H82" s="659">
        <x:v>7550000</x:v>
      </x:c>
      <x:c r="I82" s="658">
        <x:f>G82-H82</x:f>
        <x:v>286000</x:v>
      </x:c>
      <x:c r="J82" s="660">
        <x:f>7236000-2858000</x:f>
        <x:v>4378000</x:v>
      </x:c>
      <x:c r="K82" s="659">
        <x:v>0</x:v>
      </x:c>
      <x:c r="L82" s="658">
        <x:f>60269086+2858000</x:f>
        <x:v>63127086</x:v>
      </x:c>
      <x:c r="M82" s="651"/>
    </x:row>
    <x:row r="83" spans="1:13" s="689" customFormat="1" ht="21" customHeight="1">
      <x:c r="A83" s="835" t="s">
        <x:v>454</x:v>
      </x:c>
      <x:c r="B83" s="709" t="s">
        <x:v>148</x:v>
      </x:c>
      <x:c r="C83" s="661">
        <x:f>D83+G83+J83+K83+L83</x:f>
        <x:v>3773000</x:v>
      </x:c>
      <x:c r="D83" s="660">
        <x:v>200000</x:v>
      </x:c>
      <x:c r="E83" s="659">
        <x:v>200000</x:v>
      </x:c>
      <x:c r="F83" s="658">
        <x:v>0</x:v>
      </x:c>
      <x:c r="G83" s="660">
        <x:v>0</x:v>
      </x:c>
      <x:c r="H83" s="659">
        <x:v>0</x:v>
      </x:c>
      <x:c r="I83" s="658">
        <x:f>G83-H83</x:f>
        <x:v>0</x:v>
      </x:c>
      <x:c r="J83" s="660">
        <x:v>1305000</x:v>
      </x:c>
      <x:c r="K83" s="659">
        <x:v>0</x:v>
      </x:c>
      <x:c r="L83" s="658">
        <x:v>2268000</x:v>
      </x:c>
      <x:c r="M83" s="651"/>
    </x:row>
    <x:row r="84" spans="1:13" s="689" customFormat="1" ht="21" customHeight="1">
      <x:c r="A84" s="834"/>
      <x:c r="B84" s="842" t="s">
        <x:v>646</x:v>
      </x:c>
      <x:c r="C84" s="661">
        <x:f>D84+G84+J84+K84+L84</x:f>
        <x:v>162000</x:v>
      </x:c>
      <x:c r="D84" s="660">
        <x:v>18800</x:v>
      </x:c>
      <x:c r="E84" s="837">
        <x:v>11672</x:v>
      </x:c>
      <x:c r="F84" s="658">
        <x:v>7128</x:v>
      </x:c>
      <x:c r="G84" s="836">
        <x:v>0</x:v>
      </x:c>
      <x:c r="H84" s="659">
        <x:v>0</x:v>
      </x:c>
      <x:c r="I84" s="658">
        <x:f>G84-H84</x:f>
        <x:v>0</x:v>
      </x:c>
      <x:c r="J84" s="660">
        <x:v>30000</x:v>
      </x:c>
      <x:c r="K84" s="659">
        <x:v>0</x:v>
      </x:c>
      <x:c r="L84" s="658">
        <x:v>113200</x:v>
      </x:c>
      <x:c r="M84" s="833"/>
    </x:row>
    <x:row r="85" spans="1:13" s="689" customFormat="1" ht="21" customHeight="1">
      <x:c r="A85" s="832"/>
      <x:c r="B85" s="831" t="s">
        <x:v>456</x:v>
      </x:c>
      <x:c r="C85" s="807">
        <x:f t="shared" ref="C85:L85" si="16">C81-C77</x:f>
        <x:v>0</x:v>
      </x:c>
      <x:c r="D85" s="806">
        <x:f t="shared" si="16"/>
        <x:v>0</x:v>
      </x:c>
      <x:c r="E85" s="805">
        <x:f t="shared" si="16"/>
        <x:v>0</x:v>
      </x:c>
      <x:c r="F85" s="804">
        <x:f t="shared" si="16"/>
        <x:v>0</x:v>
      </x:c>
      <x:c r="G85" s="806">
        <x:f t="shared" si="16"/>
        <x:v>0</x:v>
      </x:c>
      <x:c r="H85" s="805">
        <x:f t="shared" si="16"/>
        <x:v>3550000</x:v>
      </x:c>
      <x:c r="I85" s="804">
        <x:f t="shared" si="16"/>
        <x:v>-3550000</x:v>
      </x:c>
      <x:c r="J85" s="806">
        <x:f t="shared" si="16"/>
        <x:v>-2858000</x:v>
      </x:c>
      <x:c r="K85" s="805">
        <x:f t="shared" si="16"/>
        <x:v>0</x:v>
      </x:c>
      <x:c r="L85" s="804">
        <x:f t="shared" si="16"/>
        <x:v>2858000</x:v>
      </x:c>
      <x:c r="M85" s="830" t="s">
        <x:v>1374</x:v>
      </x:c>
    </x:row>
    <x:row r="86" spans="1:13" s="689" customFormat="1" ht="21" customHeight="1">
      <x:c r="A86" s="841" t="s">
        <x:v>1870</x:v>
      </x:c>
      <x:c r="B86" s="840" t="s">
        <x:v>1295</x:v>
      </x:c>
      <x:c r="C86" s="788">
        <x:v>78859000</x:v>
      </x:c>
      <x:c r="D86" s="786">
        <x:v>2742714</x:v>
      </x:c>
      <x:c r="E86" s="785">
        <x:v>2309431</x:v>
      </x:c>
      <x:c r="F86" s="784">
        <x:v>433283</x:v>
      </x:c>
      <x:c r="G86" s="786">
        <x:v>0</x:v>
      </x:c>
      <x:c r="H86" s="785">
        <x:v>0</x:v>
      </x:c>
      <x:c r="I86" s="784">
        <x:v>0</x:v>
      </x:c>
      <x:c r="J86" s="786">
        <x:v>7852000</x:v>
      </x:c>
      <x:c r="K86" s="785">
        <x:v>10015000</x:v>
      </x:c>
      <x:c r="L86" s="784">
        <x:v>43545286</x:v>
      </x:c>
      <x:c r="M86" s="839" t="s">
        <x:v>1668</x:v>
      </x:c>
    </x:row>
    <x:row r="87" spans="1:13" s="689" customFormat="1" ht="21" customHeight="1">
      <x:c r="A87" s="834" t="s">
        <x:v>1869</x:v>
      </x:c>
      <x:c r="B87" s="709" t="s">
        <x:v>117</x:v>
      </x:c>
      <x:c r="C87" s="676">
        <x:v>76019000</x:v>
      </x:c>
      <x:c r="D87" s="674">
        <x:v>2728714</x:v>
      </x:c>
      <x:c r="E87" s="659">
        <x:v>2302831</x:v>
      </x:c>
      <x:c r="F87" s="672">
        <x:v>425883</x:v>
      </x:c>
      <x:c r="G87" s="674">
        <x:v>0</x:v>
      </x:c>
      <x:c r="H87" s="673">
        <x:v>0</x:v>
      </x:c>
      <x:c r="I87" s="672">
        <x:v>0</x:v>
      </x:c>
      <x:c r="J87" s="660">
        <x:v>7852000</x:v>
      </x:c>
      <x:c r="K87" s="659">
        <x:v>10000000</x:v>
      </x:c>
      <x:c r="L87" s="658">
        <x:v>40734286</x:v>
      </x:c>
      <x:c r="M87" s="833" t="s">
        <x:v>1720</x:v>
      </x:c>
    </x:row>
    <x:row r="88" spans="1:13" s="689" customFormat="1" ht="21" customHeight="1">
      <x:c r="A88" s="834" t="s">
        <x:v>1756</x:v>
      </x:c>
      <x:c r="B88" s="709" t="s">
        <x:v>148</x:v>
      </x:c>
      <x:c r="C88" s="661">
        <x:v>2748000</x:v>
      </x:c>
      <x:c r="D88" s="660">
        <x:v>0</x:v>
      </x:c>
      <x:c r="E88" s="659">
        <x:v>0</x:v>
      </x:c>
      <x:c r="F88" s="658">
        <x:v>0</x:v>
      </x:c>
      <x:c r="G88" s="660">
        <x:v>0</x:v>
      </x:c>
      <x:c r="H88" s="659">
        <x:v>0</x:v>
      </x:c>
      <x:c r="I88" s="658">
        <x:v>0</x:v>
      </x:c>
      <x:c r="J88" s="660">
        <x:v>0</x:v>
      </x:c>
      <x:c r="K88" s="659">
        <x:v>0</x:v>
      </x:c>
      <x:c r="L88" s="658">
        <x:v>2748000</x:v>
      </x:c>
      <x:c r="M88" s="651"/>
    </x:row>
    <x:row r="89" spans="1:13" s="689" customFormat="1" ht="21" customHeight="1">
      <x:c r="A89" s="834" t="s">
        <x:v>1755</x:v>
      </x:c>
      <x:c r="B89" s="838" t="s">
        <x:v>646</x:v>
      </x:c>
      <x:c r="C89" s="844">
        <x:v>92000</x:v>
      </x:c>
      <x:c r="D89" s="836">
        <x:v>14000</x:v>
      </x:c>
      <x:c r="E89" s="659">
        <x:v>6600</x:v>
      </x:c>
      <x:c r="F89" s="843">
        <x:v>7400</x:v>
      </x:c>
      <x:c r="G89" s="660">
        <x:v>0</x:v>
      </x:c>
      <x:c r="H89" s="837">
        <x:v>0</x:v>
      </x:c>
      <x:c r="I89" s="843">
        <x:v>0</x:v>
      </x:c>
      <x:c r="J89" s="660">
        <x:v>0</x:v>
      </x:c>
      <x:c r="K89" s="659">
        <x:v>15000</x:v>
      </x:c>
      <x:c r="L89" s="658">
        <x:v>63000</x:v>
      </x:c>
      <x:c r="M89" s="859"/>
    </x:row>
    <x:row r="90" spans="1:13" s="689" customFormat="1" ht="21" customHeight="1">
      <x:c r="A90" s="834" t="s">
        <x:v>1883</x:v>
      </x:c>
      <x:c r="B90" s="669" t="s">
        <x:v>1294</x:v>
      </x:c>
      <x:c r="C90" s="668">
        <x:f>D90+G90+J90+K90+L90</x:f>
        <x:v>78859000</x:v>
      </x:c>
      <x:c r="D90" s="666">
        <x:f t="shared" ref="D90:L90" si="17">D91+D92+D93</x:f>
        <x:v>2742714</x:v>
      </x:c>
      <x:c r="E90" s="665">
        <x:f t="shared" si="17"/>
        <x:v>2309431</x:v>
      </x:c>
      <x:c r="F90" s="664">
        <x:f t="shared" si="17"/>
        <x:v>433283</x:v>
      </x:c>
      <x:c r="G90" s="666">
        <x:f t="shared" si="17"/>
        <x:v>0</x:v>
      </x:c>
      <x:c r="H90" s="665">
        <x:f t="shared" si="17"/>
        <x:v>0</x:v>
      </x:c>
      <x:c r="I90" s="664">
        <x:f t="shared" si="17"/>
        <x:v>0</x:v>
      </x:c>
      <x:c r="J90" s="666">
        <x:f t="shared" si="17"/>
        <x:v>2000000</x:v>
      </x:c>
      <x:c r="K90" s="665">
        <x:f t="shared" si="17"/>
        <x:v>10015000</x:v>
      </x:c>
      <x:c r="L90" s="664">
        <x:f t="shared" si="17"/>
        <x:v>64101286</x:v>
      </x:c>
      <x:c r="M90" s="833"/>
    </x:row>
    <x:row r="91" spans="1:13" s="689" customFormat="1" ht="21" customHeight="1">
      <x:c r="A91" s="834"/>
      <x:c r="B91" s="709" t="s">
        <x:v>117</x:v>
      </x:c>
      <x:c r="C91" s="661">
        <x:f>D91+G91+J91+K91+L91</x:f>
        <x:v>76019000</x:v>
      </x:c>
      <x:c r="D91" s="660">
        <x:v>2728714</x:v>
      </x:c>
      <x:c r="E91" s="659">
        <x:v>2302831</x:v>
      </x:c>
      <x:c r="F91" s="658">
        <x:v>425883</x:v>
      </x:c>
      <x:c r="G91" s="660">
        <x:v>0</x:v>
      </x:c>
      <x:c r="H91" s="659">
        <x:v>0</x:v>
      </x:c>
      <x:c r="I91" s="658">
        <x:f>G91-H91</x:f>
        <x:v>0</x:v>
      </x:c>
      <x:c r="J91" s="660">
        <x:v>2000000</x:v>
      </x:c>
      <x:c r="K91" s="659">
        <x:v>10000000</x:v>
      </x:c>
      <x:c r="L91" s="658">
        <x:f>40734286+20556000</x:f>
        <x:v>61290286</x:v>
      </x:c>
      <x:c r="M91" s="651"/>
    </x:row>
    <x:row r="92" spans="1:13" s="689" customFormat="1" ht="21" customHeight="1">
      <x:c r="A92" s="835" t="s">
        <x:v>454</x:v>
      </x:c>
      <x:c r="B92" s="709" t="s">
        <x:v>148</x:v>
      </x:c>
      <x:c r="C92" s="661">
        <x:f>D92+G92+J92+K92+L92</x:f>
        <x:v>2748000</x:v>
      </x:c>
      <x:c r="D92" s="660">
        <x:v>0</x:v>
      </x:c>
      <x:c r="E92" s="659">
        <x:v>0</x:v>
      </x:c>
      <x:c r="F92" s="658">
        <x:v>0</x:v>
      </x:c>
      <x:c r="G92" s="660">
        <x:v>0</x:v>
      </x:c>
      <x:c r="H92" s="659">
        <x:v>0</x:v>
      </x:c>
      <x:c r="I92" s="658">
        <x:f>G92-H92</x:f>
        <x:v>0</x:v>
      </x:c>
      <x:c r="J92" s="660">
        <x:v>0</x:v>
      </x:c>
      <x:c r="K92" s="659">
        <x:v>0</x:v>
      </x:c>
      <x:c r="L92" s="658">
        <x:v>2748000</x:v>
      </x:c>
      <x:c r="M92" s="651"/>
    </x:row>
    <x:row r="93" spans="1:13" s="689" customFormat="1" ht="21" customHeight="1">
      <x:c r="A93" s="834"/>
      <x:c r="B93" s="842" t="s">
        <x:v>646</x:v>
      </x:c>
      <x:c r="C93" s="661">
        <x:f>D93+G93+J93+K93+L93</x:f>
        <x:v>92000</x:v>
      </x:c>
      <x:c r="D93" s="660">
        <x:v>14000</x:v>
      </x:c>
      <x:c r="E93" s="837">
        <x:v>6600</x:v>
      </x:c>
      <x:c r="F93" s="658">
        <x:v>7400</x:v>
      </x:c>
      <x:c r="G93" s="836">
        <x:v>0</x:v>
      </x:c>
      <x:c r="H93" s="659">
        <x:v>0</x:v>
      </x:c>
      <x:c r="I93" s="658">
        <x:f>G93-H93</x:f>
        <x:v>0</x:v>
      </x:c>
      <x:c r="J93" s="660">
        <x:v>0</x:v>
      </x:c>
      <x:c r="K93" s="659">
        <x:v>15000</x:v>
      </x:c>
      <x:c r="L93" s="658">
        <x:v>63000</x:v>
      </x:c>
      <x:c r="M93" s="833"/>
    </x:row>
    <x:row r="94" spans="1:13" s="689" customFormat="1" ht="21" customHeight="1">
      <x:c r="A94" s="832"/>
      <x:c r="B94" s="831" t="s">
        <x:v>456</x:v>
      </x:c>
      <x:c r="C94" s="807">
        <x:f t="shared" ref="C94:L94" si="18">C90-C86</x:f>
        <x:v>0</x:v>
      </x:c>
      <x:c r="D94" s="806">
        <x:f t="shared" si="18"/>
        <x:v>0</x:v>
      </x:c>
      <x:c r="E94" s="805">
        <x:f t="shared" si="18"/>
        <x:v>0</x:v>
      </x:c>
      <x:c r="F94" s="804">
        <x:f t="shared" si="18"/>
        <x:v>0</x:v>
      </x:c>
      <x:c r="G94" s="806">
        <x:f t="shared" si="18"/>
        <x:v>0</x:v>
      </x:c>
      <x:c r="H94" s="805">
        <x:f t="shared" si="18"/>
        <x:v>0</x:v>
      </x:c>
      <x:c r="I94" s="804">
        <x:f t="shared" si="18"/>
        <x:v>0</x:v>
      </x:c>
      <x:c r="J94" s="806">
        <x:f t="shared" si="18"/>
        <x:v>-5852000</x:v>
      </x:c>
      <x:c r="K94" s="805">
        <x:f t="shared" si="18"/>
        <x:v>0</x:v>
      </x:c>
      <x:c r="L94" s="804">
        <x:f t="shared" si="18"/>
        <x:v>20556000</x:v>
      </x:c>
      <x:c r="M94" s="830" t="s">
        <x:v>1374</x:v>
      </x:c>
    </x:row>
    <x:row r="95" spans="1:13" s="689" customFormat="1" ht="21" customHeight="1">
      <x:c r="A95" s="841" t="s">
        <x:v>1405</x:v>
      </x:c>
      <x:c r="B95" s="840" t="s">
        <x:v>1295</x:v>
      </x:c>
      <x:c r="C95" s="788">
        <x:v>18700000</x:v>
      </x:c>
      <x:c r="D95" s="786">
        <x:v>286000</x:v>
      </x:c>
      <x:c r="E95" s="785">
        <x:v>0</x:v>
      </x:c>
      <x:c r="F95" s="784">
        <x:v>286000</x:v>
      </x:c>
      <x:c r="G95" s="786">
        <x:v>2505000</x:v>
      </x:c>
      <x:c r="H95" s="785">
        <x:v>143467</x:v>
      </x:c>
      <x:c r="I95" s="784">
        <x:v>2361533</x:v>
      </x:c>
      <x:c r="J95" s="786">
        <x:v>2500000</x:v>
      </x:c>
      <x:c r="K95" s="785">
        <x:v>3010000</x:v>
      </x:c>
      <x:c r="L95" s="784">
        <x:v>10399000</x:v>
      </x:c>
      <x:c r="M95" s="839" t="s">
        <x:v>1668</x:v>
      </x:c>
    </x:row>
    <x:row r="96" spans="1:13" s="689" customFormat="1" ht="21" customHeight="1">
      <x:c r="A96" s="834"/>
      <x:c r="B96" s="709" t="s">
        <x:v>117</x:v>
      </x:c>
      <x:c r="C96" s="676">
        <x:v>16600000</x:v>
      </x:c>
      <x:c r="D96" s="674">
        <x:v>286000</x:v>
      </x:c>
      <x:c r="E96" s="659">
        <x:v>0</x:v>
      </x:c>
      <x:c r="F96" s="672">
        <x:v>286000</x:v>
      </x:c>
      <x:c r="G96" s="674">
        <x:v>2495000</x:v>
      </x:c>
      <x:c r="H96" s="673">
        <x:v>143326</x:v>
      </x:c>
      <x:c r="I96" s="672">
        <x:v>2351674</x:v>
      </x:c>
      <x:c r="J96" s="660">
        <x:v>2500000</x:v>
      </x:c>
      <x:c r="K96" s="659">
        <x:v>3000000</x:v>
      </x:c>
      <x:c r="L96" s="658">
        <x:v>8319000</x:v>
      </x:c>
      <x:c r="M96" s="833" t="s">
        <x:v>1720</x:v>
      </x:c>
    </x:row>
    <x:row r="97" spans="1:13" s="689" customFormat="1" ht="21" customHeight="1">
      <x:c r="A97" s="834" t="s">
        <x:v>1868</x:v>
      </x:c>
      <x:c r="B97" s="709" t="s">
        <x:v>148</x:v>
      </x:c>
      <x:c r="C97" s="661">
        <x:v>2000000</x:v>
      </x:c>
      <x:c r="D97" s="660">
        <x:v>0</x:v>
      </x:c>
      <x:c r="E97" s="659">
        <x:v>0</x:v>
      </x:c>
      <x:c r="F97" s="658">
        <x:v>0</x:v>
      </x:c>
      <x:c r="G97" s="660">
        <x:v>0</x:v>
      </x:c>
      <x:c r="H97" s="659">
        <x:v>0</x:v>
      </x:c>
      <x:c r="I97" s="658">
        <x:v>0</x:v>
      </x:c>
      <x:c r="J97" s="660">
        <x:v>0</x:v>
      </x:c>
      <x:c r="K97" s="659">
        <x:v>0</x:v>
      </x:c>
      <x:c r="L97" s="658">
        <x:v>2000000</x:v>
      </x:c>
      <x:c r="M97" s="651"/>
    </x:row>
    <x:row r="98" spans="1:13" s="689" customFormat="1" ht="21" customHeight="1">
      <x:c r="A98" s="834" t="s">
        <x:v>1416</x:v>
      </x:c>
      <x:c r="B98" s="838" t="s">
        <x:v>646</x:v>
      </x:c>
      <x:c r="C98" s="661">
        <x:v>100000</x:v>
      </x:c>
      <x:c r="D98" s="836">
        <x:v>0</x:v>
      </x:c>
      <x:c r="E98" s="659">
        <x:v>0</x:v>
      </x:c>
      <x:c r="F98" s="843"/>
      <x:c r="G98" s="836">
        <x:v>10000</x:v>
      </x:c>
      <x:c r="H98" s="837">
        <x:v>141</x:v>
      </x:c>
      <x:c r="I98" s="843">
        <x:v>9859</x:v>
      </x:c>
      <x:c r="J98" s="660">
        <x:v>0</x:v>
      </x:c>
      <x:c r="K98" s="659">
        <x:v>10000</x:v>
      </x:c>
      <x:c r="L98" s="658">
        <x:v>80000</x:v>
      </x:c>
      <x:c r="M98" s="859"/>
    </x:row>
    <x:row r="99" spans="1:13" s="689" customFormat="1" ht="21" customHeight="1">
      <x:c r="A99" s="834" t="s">
        <x:v>1758</x:v>
      </x:c>
      <x:c r="B99" s="669" t="s">
        <x:v>1294</x:v>
      </x:c>
      <x:c r="C99" s="668">
        <x:f>D99+G99+J99+K99+L99</x:f>
        <x:v>18700000</x:v>
      </x:c>
      <x:c r="D99" s="666">
        <x:f t="shared" ref="D99:L99" si="19">D100+D101+D102</x:f>
        <x:v>286000</x:v>
      </x:c>
      <x:c r="E99" s="665">
        <x:f t="shared" si="19"/>
        <x:v>0</x:v>
      </x:c>
      <x:c r="F99" s="664">
        <x:f t="shared" si="19"/>
        <x:v>286000</x:v>
      </x:c>
      <x:c r="G99" s="666">
        <x:f t="shared" si="19"/>
        <x:v>2505000</x:v>
      </x:c>
      <x:c r="H99" s="665">
        <x:f t="shared" si="19"/>
        <x:v>143762</x:v>
      </x:c>
      <x:c r="I99" s="664">
        <x:f t="shared" si="19"/>
        <x:v>2361238</x:v>
      </x:c>
      <x:c r="J99" s="666">
        <x:f t="shared" si="19"/>
        <x:v>500000</x:v>
      </x:c>
      <x:c r="K99" s="665">
        <x:f t="shared" si="19"/>
        <x:v>3010000</x:v>
      </x:c>
      <x:c r="L99" s="664">
        <x:f t="shared" si="19"/>
        <x:v>12399000</x:v>
      </x:c>
      <x:c r="M99" s="833"/>
    </x:row>
    <x:row r="100" spans="1:13" s="689" customFormat="1" ht="21" customHeight="1">
      <x:c r="A100" s="834" t="s">
        <x:v>1867</x:v>
      </x:c>
      <x:c r="B100" s="709" t="s">
        <x:v>117</x:v>
      </x:c>
      <x:c r="C100" s="661">
        <x:f>D100+G100+J100+K100+L100</x:f>
        <x:v>16600000</x:v>
      </x:c>
      <x:c r="D100" s="660">
        <x:v>286000</x:v>
      </x:c>
      <x:c r="E100" s="659">
        <x:v>0</x:v>
      </x:c>
      <x:c r="F100" s="658">
        <x:v>286000</x:v>
      </x:c>
      <x:c r="G100" s="660">
        <x:v>2495000</x:v>
      </x:c>
      <x:c r="H100" s="659">
        <x:v>143326</x:v>
      </x:c>
      <x:c r="I100" s="658">
        <x:f>G100-H100</x:f>
        <x:v>2351674</x:v>
      </x:c>
      <x:c r="J100" s="660">
        <x:v>500000</x:v>
      </x:c>
      <x:c r="K100" s="659">
        <x:v>3000000</x:v>
      </x:c>
      <x:c r="L100" s="658">
        <x:f>8319000+2000000</x:f>
        <x:v>10319000</x:v>
      </x:c>
      <x:c r="M100" s="651"/>
    </x:row>
    <x:row r="101" spans="1:13" s="689" customFormat="1" ht="21" customHeight="1">
      <x:c r="A101" s="835"/>
      <x:c r="B101" s="709" t="s">
        <x:v>148</x:v>
      </x:c>
      <x:c r="C101" s="661">
        <x:f>D101+G101+J101+K101+L101</x:f>
        <x:v>2000000</x:v>
      </x:c>
      <x:c r="D101" s="660">
        <x:v>0</x:v>
      </x:c>
      <x:c r="E101" s="659">
        <x:v>0</x:v>
      </x:c>
      <x:c r="F101" s="658">
        <x:v>0</x:v>
      </x:c>
      <x:c r="G101" s="660">
        <x:v>0</x:v>
      </x:c>
      <x:c r="H101" s="659">
        <x:v>0</x:v>
      </x:c>
      <x:c r="I101" s="658">
        <x:f>G101-H101</x:f>
        <x:v>0</x:v>
      </x:c>
      <x:c r="J101" s="660">
        <x:v>0</x:v>
      </x:c>
      <x:c r="K101" s="659">
        <x:v>0</x:v>
      </x:c>
      <x:c r="L101" s="658">
        <x:v>2000000</x:v>
      </x:c>
      <x:c r="M101" s="651"/>
    </x:row>
    <x:row r="102" spans="1:13" s="689" customFormat="1" ht="21" customHeight="1">
      <x:c r="A102" s="834" t="s">
        <x:v>454</x:v>
      </x:c>
      <x:c r="B102" s="842" t="s">
        <x:v>646</x:v>
      </x:c>
      <x:c r="C102" s="661">
        <x:f>D102+G102+J102+K102+L102</x:f>
        <x:v>100000</x:v>
      </x:c>
      <x:c r="D102" s="660">
        <x:v>0</x:v>
      </x:c>
      <x:c r="E102" s="837">
        <x:v>0</x:v>
      </x:c>
      <x:c r="F102" s="658">
        <x:v>0</x:v>
      </x:c>
      <x:c r="G102" s="836">
        <x:v>10000</x:v>
      </x:c>
      <x:c r="H102" s="659">
        <x:v>436</x:v>
      </x:c>
      <x:c r="I102" s="658">
        <x:f>G102-H102</x:f>
        <x:v>9564</x:v>
      </x:c>
      <x:c r="J102" s="660">
        <x:v>0</x:v>
      </x:c>
      <x:c r="K102" s="659">
        <x:v>10000</x:v>
      </x:c>
      <x:c r="L102" s="658">
        <x:v>80000</x:v>
      </x:c>
      <x:c r="M102" s="833"/>
    </x:row>
    <x:row r="103" spans="1:13" s="689" customFormat="1" ht="21" customHeight="1">
      <x:c r="A103" s="832"/>
      <x:c r="B103" s="831" t="s">
        <x:v>456</x:v>
      </x:c>
      <x:c r="C103" s="807">
        <x:f t="shared" ref="C103:L103" si="20">C99-C95</x:f>
        <x:v>0</x:v>
      </x:c>
      <x:c r="D103" s="806">
        <x:f t="shared" si="20"/>
        <x:v>0</x:v>
      </x:c>
      <x:c r="E103" s="805">
        <x:f t="shared" si="20"/>
        <x:v>0</x:v>
      </x:c>
      <x:c r="F103" s="804">
        <x:f t="shared" si="20"/>
        <x:v>0</x:v>
      </x:c>
      <x:c r="G103" s="806">
        <x:f t="shared" si="20"/>
        <x:v>0</x:v>
      </x:c>
      <x:c r="H103" s="805">
        <x:f t="shared" si="20"/>
        <x:v>295</x:v>
      </x:c>
      <x:c r="I103" s="804">
        <x:f t="shared" si="20"/>
        <x:v>-295</x:v>
      </x:c>
      <x:c r="J103" s="806">
        <x:f t="shared" si="20"/>
        <x:v>-2000000</x:v>
      </x:c>
      <x:c r="K103" s="805">
        <x:f t="shared" si="20"/>
        <x:v>0</x:v>
      </x:c>
      <x:c r="L103" s="804">
        <x:f t="shared" si="20"/>
        <x:v>2000000</x:v>
      </x:c>
      <x:c r="M103" s="830" t="s">
        <x:v>1374</x:v>
      </x:c>
    </x:row>
    <x:row r="104" spans="1:13" s="689" customFormat="1" ht="21" customHeight="1">
      <x:c r="A104" s="841" t="s">
        <x:v>1414</x:v>
      </x:c>
      <x:c r="B104" s="840" t="s">
        <x:v>1295</x:v>
      </x:c>
      <x:c r="C104" s="788">
        <x:v>46598000</x:v>
      </x:c>
      <x:c r="D104" s="786">
        <x:v>0</x:v>
      </x:c>
      <x:c r="E104" s="785">
        <x:v>0</x:v>
      </x:c>
      <x:c r="F104" s="784">
        <x:v>0</x:v>
      </x:c>
      <x:c r="G104" s="786">
        <x:v>1853000</x:v>
      </x:c>
      <x:c r="H104" s="785">
        <x:v>0</x:v>
      </x:c>
      <x:c r="I104" s="784">
        <x:v>1853000</x:v>
      </x:c>
      <x:c r="J104" s="786">
        <x:v>3441000</x:v>
      </x:c>
      <x:c r="K104" s="785">
        <x:v>5020000</x:v>
      </x:c>
      <x:c r="L104" s="784">
        <x:v>36284000</x:v>
      </x:c>
      <x:c r="M104" s="839" t="s">
        <x:v>1668</x:v>
      </x:c>
    </x:row>
    <x:row r="105" spans="1:13" s="689" customFormat="1" ht="21" customHeight="1">
      <x:c r="A105" s="834" t="s">
        <x:v>1897</x:v>
      </x:c>
      <x:c r="B105" s="709" t="s">
        <x:v>117</x:v>
      </x:c>
      <x:c r="C105" s="676">
        <x:v>44003000</x:v>
      </x:c>
      <x:c r="D105" s="674">
        <x:v>0</x:v>
      </x:c>
      <x:c r="E105" s="659">
        <x:v>0</x:v>
      </x:c>
      <x:c r="F105" s="672">
        <x:v>0</x:v>
      </x:c>
      <x:c r="G105" s="674">
        <x:v>1853000</x:v>
      </x:c>
      <x:c r="H105" s="673">
        <x:v>0</x:v>
      </x:c>
      <x:c r="I105" s="672">
        <x:v>1853000</x:v>
      </x:c>
      <x:c r="J105" s="660">
        <x:v>3441000</x:v>
      </x:c>
      <x:c r="K105" s="659">
        <x:v>5000000</x:v>
      </x:c>
      <x:c r="L105" s="658">
        <x:v>33709000</x:v>
      </x:c>
      <x:c r="M105" s="833" t="s">
        <x:v>1720</x:v>
      </x:c>
    </x:row>
    <x:row r="106" spans="1:13" s="689" customFormat="1" ht="21" customHeight="1">
      <x:c r="A106" s="834" t="s">
        <x:v>1896</x:v>
      </x:c>
      <x:c r="B106" s="709" t="s">
        <x:v>148</x:v>
      </x:c>
      <x:c r="C106" s="661">
        <x:v>2506000</x:v>
      </x:c>
      <x:c r="D106" s="660">
        <x:v>0</x:v>
      </x:c>
      <x:c r="E106" s="659">
        <x:v>0</x:v>
      </x:c>
      <x:c r="F106" s="658">
        <x:v>0</x:v>
      </x:c>
      <x:c r="G106" s="660">
        <x:v>0</x:v>
      </x:c>
      <x:c r="H106" s="659">
        <x:v>0</x:v>
      </x:c>
      <x:c r="I106" s="658">
        <x:v>0</x:v>
      </x:c>
      <x:c r="J106" s="660">
        <x:v>0</x:v>
      </x:c>
      <x:c r="K106" s="659">
        <x:v>0</x:v>
      </x:c>
      <x:c r="L106" s="658">
        <x:v>2506000</x:v>
      </x:c>
      <x:c r="M106" s="651"/>
    </x:row>
    <x:row r="107" spans="1:13" s="689" customFormat="1" ht="21" customHeight="1">
      <x:c r="A107" s="834" t="s">
        <x:v>1749</x:v>
      </x:c>
      <x:c r="B107" s="838" t="s">
        <x:v>646</x:v>
      </x:c>
      <x:c r="C107" s="661">
        <x:v>89000</x:v>
      </x:c>
      <x:c r="D107" s="836">
        <x:v>0</x:v>
      </x:c>
      <x:c r="E107" s="659">
        <x:v>0</x:v>
      </x:c>
      <x:c r="F107" s="843">
        <x:v>0</x:v>
      </x:c>
      <x:c r="G107" s="836">
        <x:v>0</x:v>
      </x:c>
      <x:c r="H107" s="837">
        <x:v>0</x:v>
      </x:c>
      <x:c r="I107" s="843">
        <x:v>0</x:v>
      </x:c>
      <x:c r="J107" s="660">
        <x:v>0</x:v>
      </x:c>
      <x:c r="K107" s="659">
        <x:v>20000</x:v>
      </x:c>
      <x:c r="L107" s="658">
        <x:v>69000</x:v>
      </x:c>
      <x:c r="M107" s="859"/>
    </x:row>
    <x:row r="108" spans="1:13" s="689" customFormat="1" ht="21" customHeight="1">
      <x:c r="A108" s="834" t="s">
        <x:v>1882</x:v>
      </x:c>
      <x:c r="B108" s="669" t="s">
        <x:v>1294</x:v>
      </x:c>
      <x:c r="C108" s="668">
        <x:f>D108+G108+J108+K108+L108</x:f>
        <x:v>46598000</x:v>
      </x:c>
      <x:c r="D108" s="666">
        <x:f t="shared" ref="D108:L108" si="21">D109+D110+D111</x:f>
        <x:v>0</x:v>
      </x:c>
      <x:c r="E108" s="665">
        <x:f t="shared" si="21"/>
        <x:v>0</x:v>
      </x:c>
      <x:c r="F108" s="664">
        <x:f t="shared" si="21"/>
        <x:v>0</x:v>
      </x:c>
      <x:c r="G108" s="666">
        <x:f t="shared" si="21"/>
        <x:v>1853000</x:v>
      </x:c>
      <x:c r="H108" s="665">
        <x:f t="shared" si="21"/>
        <x:v>1853000</x:v>
      </x:c>
      <x:c r="I108" s="664">
        <x:f t="shared" si="21"/>
        <x:v>0</x:v>
      </x:c>
      <x:c r="J108" s="666">
        <x:f t="shared" si="21"/>
        <x:v>441000</x:v>
      </x:c>
      <x:c r="K108" s="665">
        <x:f t="shared" si="21"/>
        <x:v>5020000</x:v>
      </x:c>
      <x:c r="L108" s="664">
        <x:f t="shared" si="21"/>
        <x:v>39284000</x:v>
      </x:c>
      <x:c r="M108" s="833"/>
    </x:row>
    <x:row r="109" spans="1:13" s="689" customFormat="1" ht="21" customHeight="1">
      <x:c r="A109" s="834"/>
      <x:c r="B109" s="709" t="s">
        <x:v>117</x:v>
      </x:c>
      <x:c r="C109" s="661">
        <x:f>D109+G109+J109+K109+L109</x:f>
        <x:v>44003000</x:v>
      </x:c>
      <x:c r="D109" s="660">
        <x:v>0</x:v>
      </x:c>
      <x:c r="E109" s="659">
        <x:v>0</x:v>
      </x:c>
      <x:c r="F109" s="658">
        <x:v>0</x:v>
      </x:c>
      <x:c r="G109" s="660">
        <x:v>1853000</x:v>
      </x:c>
      <x:c r="H109" s="659">
        <x:v>1853000</x:v>
      </x:c>
      <x:c r="I109" s="658">
        <x:f>G109-H109</x:f>
        <x:v>0</x:v>
      </x:c>
      <x:c r="J109" s="660">
        <x:v>441000</x:v>
      </x:c>
      <x:c r="K109" s="659">
        <x:v>5000000</x:v>
      </x:c>
      <x:c r="L109" s="658">
        <x:f>33709000+3000000</x:f>
        <x:v>36709000</x:v>
      </x:c>
      <x:c r="M109" s="651"/>
    </x:row>
    <x:row r="110" spans="1:13" s="689" customFormat="1" ht="21" customHeight="1">
      <x:c r="A110" s="835" t="s">
        <x:v>454</x:v>
      </x:c>
      <x:c r="B110" s="709" t="s">
        <x:v>148</x:v>
      </x:c>
      <x:c r="C110" s="661">
        <x:f>D110+G110+J110+K110+L110</x:f>
        <x:v>2506000</x:v>
      </x:c>
      <x:c r="D110" s="660">
        <x:v>0</x:v>
      </x:c>
      <x:c r="E110" s="659">
        <x:v>0</x:v>
      </x:c>
      <x:c r="F110" s="658">
        <x:v>0</x:v>
      </x:c>
      <x:c r="G110" s="660">
        <x:v>0</x:v>
      </x:c>
      <x:c r="H110" s="659">
        <x:v>0</x:v>
      </x:c>
      <x:c r="I110" s="658">
        <x:f>G110-H110</x:f>
        <x:v>0</x:v>
      </x:c>
      <x:c r="J110" s="660">
        <x:v>0</x:v>
      </x:c>
      <x:c r="K110" s="659">
        <x:v>0</x:v>
      </x:c>
      <x:c r="L110" s="658">
        <x:v>2506000</x:v>
      </x:c>
      <x:c r="M110" s="651"/>
    </x:row>
    <x:row r="111" spans="1:13" s="689" customFormat="1" ht="21" customHeight="1">
      <x:c r="A111" s="834"/>
      <x:c r="B111" s="842" t="s">
        <x:v>646</x:v>
      </x:c>
      <x:c r="C111" s="661">
        <x:f>D111+G111+J111+K111+L111</x:f>
        <x:v>89000</x:v>
      </x:c>
      <x:c r="D111" s="660">
        <x:v>0</x:v>
      </x:c>
      <x:c r="E111" s="837">
        <x:v>0</x:v>
      </x:c>
      <x:c r="F111" s="658">
        <x:v>0</x:v>
      </x:c>
      <x:c r="G111" s="836">
        <x:v>0</x:v>
      </x:c>
      <x:c r="H111" s="659">
        <x:v>0</x:v>
      </x:c>
      <x:c r="I111" s="658">
        <x:f>G111-H111</x:f>
        <x:v>0</x:v>
      </x:c>
      <x:c r="J111" s="660">
        <x:v>0</x:v>
      </x:c>
      <x:c r="K111" s="659">
        <x:v>20000</x:v>
      </x:c>
      <x:c r="L111" s="658">
        <x:v>69000</x:v>
      </x:c>
      <x:c r="M111" s="833"/>
    </x:row>
    <x:row r="112" spans="1:13" s="689" customFormat="1" ht="21" customHeight="1">
      <x:c r="A112" s="832"/>
      <x:c r="B112" s="831" t="s">
        <x:v>456</x:v>
      </x:c>
      <x:c r="C112" s="807">
        <x:f t="shared" ref="C112:L112" si="22">C108-C104</x:f>
        <x:v>0</x:v>
      </x:c>
      <x:c r="D112" s="806">
        <x:f t="shared" si="22"/>
        <x:v>0</x:v>
      </x:c>
      <x:c r="E112" s="805">
        <x:f t="shared" si="22"/>
        <x:v>0</x:v>
      </x:c>
      <x:c r="F112" s="804">
        <x:f t="shared" si="22"/>
        <x:v>0</x:v>
      </x:c>
      <x:c r="G112" s="806">
        <x:f t="shared" si="22"/>
        <x:v>0</x:v>
      </x:c>
      <x:c r="H112" s="805">
        <x:f t="shared" si="22"/>
        <x:v>1853000</x:v>
      </x:c>
      <x:c r="I112" s="804">
        <x:f t="shared" si="22"/>
        <x:v>-1853000</x:v>
      </x:c>
      <x:c r="J112" s="806">
        <x:f t="shared" si="22"/>
        <x:v>-3000000</x:v>
      </x:c>
      <x:c r="K112" s="805">
        <x:f t="shared" si="22"/>
        <x:v>0</x:v>
      </x:c>
      <x:c r="L112" s="804">
        <x:f t="shared" si="22"/>
        <x:v>3000000</x:v>
      </x:c>
      <x:c r="M112" s="830" t="s">
        <x:v>1374</x:v>
      </x:c>
    </x:row>
    <x:row r="113" spans="1:13" s="689" customFormat="1" ht="21" customHeight="1">
      <x:c r="A113" s="841" t="s">
        <x:v>1413</x:v>
      </x:c>
      <x:c r="B113" s="840" t="s">
        <x:v>1295</x:v>
      </x:c>
      <x:c r="C113" s="788">
        <x:v>51086000</x:v>
      </x:c>
      <x:c r="D113" s="786">
        <x:v>0</x:v>
      </x:c>
      <x:c r="E113" s="785">
        <x:v>0</x:v>
      </x:c>
      <x:c r="F113" s="784">
        <x:v>0</x:v>
      </x:c>
      <x:c r="G113" s="786">
        <x:v>300000</x:v>
      </x:c>
      <x:c r="H113" s="785">
        <x:v>0</x:v>
      </x:c>
      <x:c r="I113" s="784">
        <x:v>300000</x:v>
      </x:c>
      <x:c r="J113" s="786">
        <x:v>20000000</x:v>
      </x:c>
      <x:c r="K113" s="785">
        <x:v>5010000</x:v>
      </x:c>
      <x:c r="L113" s="784">
        <x:v>25776000</x:v>
      </x:c>
      <x:c r="M113" s="839" t="s">
        <x:v>1668</x:v>
      </x:c>
    </x:row>
    <x:row r="114" spans="1:13" s="689" customFormat="1" ht="21" customHeight="1">
      <x:c r="A114" s="834" t="s">
        <x:v>1898</x:v>
      </x:c>
      <x:c r="B114" s="709" t="s">
        <x:v>117</x:v>
      </x:c>
      <x:c r="C114" s="676">
        <x:v>50187000</x:v>
      </x:c>
      <x:c r="D114" s="674">
        <x:v>0</x:v>
      </x:c>
      <x:c r="E114" s="659">
        <x:v>0</x:v>
      </x:c>
      <x:c r="F114" s="672">
        <x:v>0</x:v>
      </x:c>
      <x:c r="G114" s="674">
        <x:v>290000</x:v>
      </x:c>
      <x:c r="H114" s="673">
        <x:v>0</x:v>
      </x:c>
      <x:c r="I114" s="672">
        <x:v>290000</x:v>
      </x:c>
      <x:c r="J114" s="674">
        <x:v>20000000</x:v>
      </x:c>
      <x:c r="K114" s="659">
        <x:v>5000000</x:v>
      </x:c>
      <x:c r="L114" s="658">
        <x:v>24897000</x:v>
      </x:c>
      <x:c r="M114" s="833" t="s">
        <x:v>1720</x:v>
      </x:c>
    </x:row>
    <x:row r="115" spans="1:13" s="689" customFormat="1" ht="21" customHeight="1">
      <x:c r="A115" s="834" t="s">
        <x:v>1425</x:v>
      </x:c>
      <x:c r="B115" s="709" t="s">
        <x:v>148</x:v>
      </x:c>
      <x:c r="C115" s="661"/>
      <x:c r="D115" s="660">
        <x:v>0</x:v>
      </x:c>
      <x:c r="E115" s="659">
        <x:v>0</x:v>
      </x:c>
      <x:c r="F115" s="658">
        <x:v>0</x:v>
      </x:c>
      <x:c r="G115" s="660">
        <x:v>0</x:v>
      </x:c>
      <x:c r="H115" s="659">
        <x:v>0</x:v>
      </x:c>
      <x:c r="I115" s="658">
        <x:v>0</x:v>
      </x:c>
      <x:c r="J115" s="660">
        <x:v>0</x:v>
      </x:c>
      <x:c r="K115" s="659">
        <x:v>0</x:v>
      </x:c>
      <x:c r="L115" s="658">
        <x:v>0</x:v>
      </x:c>
      <x:c r="M115" s="651"/>
    </x:row>
    <x:row r="116" spans="1:13" s="689" customFormat="1" ht="21" customHeight="1">
      <x:c r="A116" s="834" t="s">
        <x:v>1752</x:v>
      </x:c>
      <x:c r="B116" s="838" t="s">
        <x:v>646</x:v>
      </x:c>
      <x:c r="C116" s="661">
        <x:v>899000</x:v>
      </x:c>
      <x:c r="D116" s="836">
        <x:v>0</x:v>
      </x:c>
      <x:c r="E116" s="659">
        <x:v>0</x:v>
      </x:c>
      <x:c r="F116" s="843">
        <x:v>0</x:v>
      </x:c>
      <x:c r="G116" s="836">
        <x:v>10000</x:v>
      </x:c>
      <x:c r="H116" s="837">
        <x:v>0</x:v>
      </x:c>
      <x:c r="I116" s="843">
        <x:v>10000</x:v>
      </x:c>
      <x:c r="J116" s="660">
        <x:v>0</x:v>
      </x:c>
      <x:c r="K116" s="659">
        <x:v>10000</x:v>
      </x:c>
      <x:c r="L116" s="658">
        <x:v>879000</x:v>
      </x:c>
      <x:c r="M116" s="859"/>
    </x:row>
    <x:row r="117" spans="1:13" s="689" customFormat="1" ht="21" customHeight="1">
      <x:c r="A117" s="834" t="s">
        <x:v>1878</x:v>
      </x:c>
      <x:c r="B117" s="669" t="s">
        <x:v>1294</x:v>
      </x:c>
      <x:c r="C117" s="668">
        <x:f>D117+G117+J117+K117+L117</x:f>
        <x:v>51086000</x:v>
      </x:c>
      <x:c r="D117" s="666">
        <x:f t="shared" ref="D117:L117" si="23">D118+D119+D120</x:f>
        <x:v>0</x:v>
      </x:c>
      <x:c r="E117" s="665">
        <x:f t="shared" si="23"/>
        <x:v>0</x:v>
      </x:c>
      <x:c r="F117" s="664">
        <x:f t="shared" si="23"/>
        <x:v>0</x:v>
      </x:c>
      <x:c r="G117" s="666">
        <x:f t="shared" si="23"/>
        <x:v>300000</x:v>
      </x:c>
      <x:c r="H117" s="665">
        <x:f t="shared" si="23"/>
        <x:v>274129</x:v>
      </x:c>
      <x:c r="I117" s="664">
        <x:f t="shared" si="23"/>
        <x:v>25871</x:v>
      </x:c>
      <x:c r="J117" s="666">
        <x:f t="shared" si="23"/>
        <x:v>1000000</x:v>
      </x:c>
      <x:c r="K117" s="665">
        <x:f t="shared" si="23"/>
        <x:v>5010000</x:v>
      </x:c>
      <x:c r="L117" s="664">
        <x:f t="shared" si="23"/>
        <x:v>44776000</x:v>
      </x:c>
      <x:c r="M117" s="833"/>
    </x:row>
    <x:row r="118" spans="1:13" s="689" customFormat="1" ht="21" customHeight="1">
      <x:c r="A118" s="834"/>
      <x:c r="B118" s="709" t="s">
        <x:v>117</x:v>
      </x:c>
      <x:c r="C118" s="661">
        <x:f>D118+G118+J118+K118+L118</x:f>
        <x:v>50187000</x:v>
      </x:c>
      <x:c r="D118" s="660">
        <x:v>0</x:v>
      </x:c>
      <x:c r="E118" s="659">
        <x:v>0</x:v>
      </x:c>
      <x:c r="F118" s="658">
        <x:v>0</x:v>
      </x:c>
      <x:c r="G118" s="660">
        <x:v>290000</x:v>
      </x:c>
      <x:c r="H118" s="659">
        <x:v>274129</x:v>
      </x:c>
      <x:c r="I118" s="658">
        <x:f>G118-H118</x:f>
        <x:v>15871</x:v>
      </x:c>
      <x:c r="J118" s="660">
        <x:v>1000000</x:v>
      </x:c>
      <x:c r="K118" s="659">
        <x:v>5000000</x:v>
      </x:c>
      <x:c r="L118" s="658">
        <x:f>24897000+19000000</x:f>
        <x:v>43897000</x:v>
      </x:c>
      <x:c r="M118" s="651"/>
    </x:row>
    <x:row r="119" spans="1:13" s="689" customFormat="1" ht="21" customHeight="1">
      <x:c r="A119" s="835" t="s">
        <x:v>454</x:v>
      </x:c>
      <x:c r="B119" s="709" t="s">
        <x:v>148</x:v>
      </x:c>
      <x:c r="C119" s="661">
        <x:f>D119+G119+J119+K119+L119</x:f>
        <x:v>0</x:v>
      </x:c>
      <x:c r="D119" s="660">
        <x:v>0</x:v>
      </x:c>
      <x:c r="E119" s="659">
        <x:v>0</x:v>
      </x:c>
      <x:c r="F119" s="658">
        <x:v>0</x:v>
      </x:c>
      <x:c r="G119" s="660">
        <x:v>0</x:v>
      </x:c>
      <x:c r="H119" s="659">
        <x:v>0</x:v>
      </x:c>
      <x:c r="I119" s="658">
        <x:f>G119-H119</x:f>
        <x:v>0</x:v>
      </x:c>
      <x:c r="J119" s="660">
        <x:v>0</x:v>
      </x:c>
      <x:c r="K119" s="659">
        <x:v>0</x:v>
      </x:c>
      <x:c r="L119" s="658">
        <x:v>0</x:v>
      </x:c>
      <x:c r="M119" s="651"/>
    </x:row>
    <x:row r="120" spans="1:13" s="689" customFormat="1" ht="21" customHeight="1">
      <x:c r="A120" s="834"/>
      <x:c r="B120" s="842" t="s">
        <x:v>646</x:v>
      </x:c>
      <x:c r="C120" s="661">
        <x:f>D120+G120+J120+K120+L120</x:f>
        <x:v>899000</x:v>
      </x:c>
      <x:c r="D120" s="660">
        <x:v>0</x:v>
      </x:c>
      <x:c r="E120" s="837">
        <x:v>0</x:v>
      </x:c>
      <x:c r="F120" s="658">
        <x:v>0</x:v>
      </x:c>
      <x:c r="G120" s="836">
        <x:v>10000</x:v>
      </x:c>
      <x:c r="H120" s="659">
        <x:v>0</x:v>
      </x:c>
      <x:c r="I120" s="658">
        <x:f>G120-H120</x:f>
        <x:v>10000</x:v>
      </x:c>
      <x:c r="J120" s="660">
        <x:v>0</x:v>
      </x:c>
      <x:c r="K120" s="659">
        <x:v>10000</x:v>
      </x:c>
      <x:c r="L120" s="658">
        <x:v>879000</x:v>
      </x:c>
      <x:c r="M120" s="833"/>
    </x:row>
    <x:row r="121" spans="1:13" s="689" customFormat="1" ht="21" customHeight="1">
      <x:c r="A121" s="832"/>
      <x:c r="B121" s="831" t="s">
        <x:v>456</x:v>
      </x:c>
      <x:c r="C121" s="807">
        <x:f t="shared" ref="C121:L121" si="24">C117-C113</x:f>
        <x:v>0</x:v>
      </x:c>
      <x:c r="D121" s="806">
        <x:f t="shared" si="24"/>
        <x:v>0</x:v>
      </x:c>
      <x:c r="E121" s="805">
        <x:f t="shared" si="24"/>
        <x:v>0</x:v>
      </x:c>
      <x:c r="F121" s="804">
        <x:f t="shared" si="24"/>
        <x:v>0</x:v>
      </x:c>
      <x:c r="G121" s="806">
        <x:f t="shared" si="24"/>
        <x:v>0</x:v>
      </x:c>
      <x:c r="H121" s="805">
        <x:f t="shared" si="24"/>
        <x:v>274129</x:v>
      </x:c>
      <x:c r="I121" s="804">
        <x:f t="shared" si="24"/>
        <x:v>-274129</x:v>
      </x:c>
      <x:c r="J121" s="806">
        <x:f t="shared" si="24"/>
        <x:v>-19000000</x:v>
      </x:c>
      <x:c r="K121" s="805">
        <x:f t="shared" si="24"/>
        <x:v>0</x:v>
      </x:c>
      <x:c r="L121" s="804">
        <x:f t="shared" si="24"/>
        <x:v>19000000</x:v>
      </x:c>
      <x:c r="M121" s="830" t="s">
        <x:v>1374</x:v>
      </x:c>
    </x:row>
    <x:row r="122" spans="1:13" s="689" customFormat="1" ht="21" customHeight="1">
      <x:c r="A122" s="841" t="s">
        <x:v>1410</x:v>
      </x:c>
      <x:c r="B122" s="840" t="s">
        <x:v>1295</x:v>
      </x:c>
      <x:c r="C122" s="788">
        <x:v>14528000</x:v>
      </x:c>
      <x:c r="D122" s="786">
        <x:v>0</x:v>
      </x:c>
      <x:c r="E122" s="785">
        <x:v>0</x:v>
      </x:c>
      <x:c r="F122" s="784">
        <x:v>0</x:v>
      </x:c>
      <x:c r="G122" s="786">
        <x:v>0</x:v>
      </x:c>
      <x:c r="H122" s="785">
        <x:v>0</x:v>
      </x:c>
      <x:c r="I122" s="784">
        <x:v>0</x:v>
      </x:c>
      <x:c r="J122" s="786">
        <x:v>4020000</x:v>
      </x:c>
      <x:c r="K122" s="785">
        <x:v>0</x:v>
      </x:c>
      <x:c r="L122" s="784">
        <x:v>10508000</x:v>
      </x:c>
      <x:c r="M122" s="839" t="s">
        <x:v>1668</x:v>
      </x:c>
    </x:row>
    <x:row r="123" spans="1:13" s="689" customFormat="1" ht="21" customHeight="1">
      <x:c r="A123" s="834" t="s">
        <x:v>1895</x:v>
      </x:c>
      <x:c r="B123" s="709" t="s">
        <x:v>117</x:v>
      </x:c>
      <x:c r="C123" s="661">
        <x:v>13555000</x:v>
      </x:c>
      <x:c r="D123" s="660">
        <x:v>0</x:v>
      </x:c>
      <x:c r="E123" s="659">
        <x:v>0</x:v>
      </x:c>
      <x:c r="F123" s="658">
        <x:v>0</x:v>
      </x:c>
      <x:c r="G123" s="660">
        <x:v>0</x:v>
      </x:c>
      <x:c r="H123" s="659">
        <x:v>0</x:v>
      </x:c>
      <x:c r="I123" s="658">
        <x:v>0</x:v>
      </x:c>
      <x:c r="J123" s="660">
        <x:v>4000000</x:v>
      </x:c>
      <x:c r="K123" s="659">
        <x:v>0</x:v>
      </x:c>
      <x:c r="L123" s="658">
        <x:v>9555000</x:v>
      </x:c>
      <x:c r="M123" s="833" t="s">
        <x:v>1720</x:v>
      </x:c>
    </x:row>
    <x:row r="124" spans="1:13" s="689" customFormat="1" ht="21" customHeight="1">
      <x:c r="A124" s="834" t="s">
        <x:v>1702</x:v>
      </x:c>
      <x:c r="B124" s="709" t="s">
        <x:v>148</x:v>
      </x:c>
      <x:c r="C124" s="661">
        <x:v>951000</x:v>
      </x:c>
      <x:c r="D124" s="660">
        <x:v>0</x:v>
      </x:c>
      <x:c r="E124" s="659">
        <x:v>0</x:v>
      </x:c>
      <x:c r="F124" s="658">
        <x:v>0</x:v>
      </x:c>
      <x:c r="G124" s="660">
        <x:v>0</x:v>
      </x:c>
      <x:c r="H124" s="659">
        <x:v>0</x:v>
      </x:c>
      <x:c r="I124" s="658">
        <x:v>0</x:v>
      </x:c>
      <x:c r="J124" s="660">
        <x:v>0</x:v>
      </x:c>
      <x:c r="K124" s="659">
        <x:v>0</x:v>
      </x:c>
      <x:c r="L124" s="658">
        <x:v>951000</x:v>
      </x:c>
      <x:c r="M124" s="651"/>
    </x:row>
    <x:row r="125" spans="1:13" s="689" customFormat="1" ht="21" customHeight="1">
      <x:c r="A125" s="834" t="s">
        <x:v>1884</x:v>
      </x:c>
      <x:c r="B125" s="838" t="s">
        <x:v>646</x:v>
      </x:c>
      <x:c r="C125" s="661">
        <x:v>22000</x:v>
      </x:c>
      <x:c r="D125" s="660">
        <x:v>0</x:v>
      </x:c>
      <x:c r="E125" s="837">
        <x:v>0</x:v>
      </x:c>
      <x:c r="F125" s="658">
        <x:v>0</x:v>
      </x:c>
      <x:c r="G125" s="660">
        <x:v>0</x:v>
      </x:c>
      <x:c r="H125" s="659">
        <x:v>0</x:v>
      </x:c>
      <x:c r="I125" s="658">
        <x:v>0</x:v>
      </x:c>
      <x:c r="J125" s="660">
        <x:v>20000</x:v>
      </x:c>
      <x:c r="K125" s="659">
        <x:v>0</x:v>
      </x:c>
      <x:c r="L125" s="658">
        <x:v>2000</x:v>
      </x:c>
      <x:c r="M125" s="859"/>
    </x:row>
    <x:row r="126" spans="1:13" s="689" customFormat="1" ht="21" customHeight="1">
      <x:c r="A126" s="834" t="s">
        <x:v>1894</x:v>
      </x:c>
      <x:c r="B126" s="669" t="s">
        <x:v>1294</x:v>
      </x:c>
      <x:c r="C126" s="668">
        <x:f>D126+G126+J126+K126+L126</x:f>
        <x:v>14528000</x:v>
      </x:c>
      <x:c r="D126" s="666">
        <x:f t="shared" ref="D126:L126" si="25">D127+D128+D129</x:f>
        <x:v>0</x:v>
      </x:c>
      <x:c r="E126" s="665">
        <x:f t="shared" si="25"/>
        <x:v>0</x:v>
      </x:c>
      <x:c r="F126" s="664">
        <x:f t="shared" si="25"/>
        <x:v>0</x:v>
      </x:c>
      <x:c r="G126" s="666">
        <x:f t="shared" si="25"/>
        <x:v>0</x:v>
      </x:c>
      <x:c r="H126" s="665">
        <x:f t="shared" si="25"/>
        <x:v>0</x:v>
      </x:c>
      <x:c r="I126" s="664">
        <x:f t="shared" si="25"/>
        <x:v>0</x:v>
      </x:c>
      <x:c r="J126" s="666">
        <x:f t="shared" si="25"/>
        <x:v>671571</x:v>
      </x:c>
      <x:c r="K126" s="665">
        <x:f t="shared" si="25"/>
        <x:v>0</x:v>
      </x:c>
      <x:c r="L126" s="664">
        <x:f t="shared" si="25"/>
        <x:v>13856429</x:v>
      </x:c>
      <x:c r="M126" s="833"/>
    </x:row>
    <x:row r="127" spans="1:13" s="689" customFormat="1" ht="21" customHeight="1">
      <x:c r="A127" s="834"/>
      <x:c r="B127" s="709" t="s">
        <x:v>117</x:v>
      </x:c>
      <x:c r="C127" s="661">
        <x:f>D127+G127+J127+K127+L127</x:f>
        <x:v>13555000</x:v>
      </x:c>
      <x:c r="D127" s="660">
        <x:v>0</x:v>
      </x:c>
      <x:c r="E127" s="659">
        <x:v>0</x:v>
      </x:c>
      <x:c r="F127" s="658">
        <x:v>0</x:v>
      </x:c>
      <x:c r="G127" s="660">
        <x:v>0</x:v>
      </x:c>
      <x:c r="H127" s="659">
        <x:v>0</x:v>
      </x:c>
      <x:c r="I127" s="658">
        <x:f>G127-H127</x:f>
        <x:v>0</x:v>
      </x:c>
      <x:c r="J127" s="660">
        <x:f>4000000-3348429</x:f>
        <x:v>651571</x:v>
      </x:c>
      <x:c r="K127" s="659">
        <x:v>0</x:v>
      </x:c>
      <x:c r="L127" s="658">
        <x:f>9555000+3348429</x:f>
        <x:v>12903429</x:v>
      </x:c>
      <x:c r="M127" s="651"/>
    </x:row>
    <x:row r="128" spans="1:13" s="689" customFormat="1" ht="21" customHeight="1">
      <x:c r="A128" s="835" t="s">
        <x:v>454</x:v>
      </x:c>
      <x:c r="B128" s="709" t="s">
        <x:v>148</x:v>
      </x:c>
      <x:c r="C128" s="661">
        <x:f>D128+G128+J128+K128+L128</x:f>
        <x:v>951000</x:v>
      </x:c>
      <x:c r="D128" s="660">
        <x:v>0</x:v>
      </x:c>
      <x:c r="E128" s="659">
        <x:v>0</x:v>
      </x:c>
      <x:c r="F128" s="658">
        <x:v>0</x:v>
      </x:c>
      <x:c r="G128" s="660">
        <x:v>0</x:v>
      </x:c>
      <x:c r="H128" s="659">
        <x:v>0</x:v>
      </x:c>
      <x:c r="I128" s="658">
        <x:f>G128-H128</x:f>
        <x:v>0</x:v>
      </x:c>
      <x:c r="J128" s="660">
        <x:v>0</x:v>
      </x:c>
      <x:c r="K128" s="659">
        <x:v>0</x:v>
      </x:c>
      <x:c r="L128" s="658">
        <x:v>951000</x:v>
      </x:c>
      <x:c r="M128" s="651"/>
    </x:row>
    <x:row r="129" spans="1:13" s="689" customFormat="1" ht="21" customHeight="1">
      <x:c r="A129" s="834"/>
      <x:c r="B129" s="842" t="s">
        <x:v>646</x:v>
      </x:c>
      <x:c r="C129" s="661">
        <x:f>D129+G129+J129+K129+L129</x:f>
        <x:v>22000</x:v>
      </x:c>
      <x:c r="D129" s="660">
        <x:v>0</x:v>
      </x:c>
      <x:c r="E129" s="837">
        <x:v>0</x:v>
      </x:c>
      <x:c r="F129" s="658">
        <x:v>0</x:v>
      </x:c>
      <x:c r="G129" s="836">
        <x:v>0</x:v>
      </x:c>
      <x:c r="H129" s="659">
        <x:v>0</x:v>
      </x:c>
      <x:c r="I129" s="658">
        <x:f>G129-H129</x:f>
        <x:v>0</x:v>
      </x:c>
      <x:c r="J129" s="660">
        <x:v>20000</x:v>
      </x:c>
      <x:c r="K129" s="659">
        <x:v>0</x:v>
      </x:c>
      <x:c r="L129" s="658">
        <x:v>2000</x:v>
      </x:c>
      <x:c r="M129" s="833"/>
    </x:row>
    <x:row r="130" spans="1:13" s="689" customFormat="1" ht="21" customHeight="1">
      <x:c r="A130" s="832"/>
      <x:c r="B130" s="831" t="s">
        <x:v>456</x:v>
      </x:c>
      <x:c r="C130" s="807">
        <x:f t="shared" ref="C130:L130" si="26">C126-C122</x:f>
        <x:v>0</x:v>
      </x:c>
      <x:c r="D130" s="806">
        <x:f t="shared" si="26"/>
        <x:v>0</x:v>
      </x:c>
      <x:c r="E130" s="805">
        <x:f t="shared" si="26"/>
        <x:v>0</x:v>
      </x:c>
      <x:c r="F130" s="804">
        <x:f t="shared" si="26"/>
        <x:v>0</x:v>
      </x:c>
      <x:c r="G130" s="806">
        <x:f t="shared" si="26"/>
        <x:v>0</x:v>
      </x:c>
      <x:c r="H130" s="805">
        <x:f t="shared" si="26"/>
        <x:v>0</x:v>
      </x:c>
      <x:c r="I130" s="804">
        <x:f t="shared" si="26"/>
        <x:v>0</x:v>
      </x:c>
      <x:c r="J130" s="806">
        <x:f t="shared" si="26"/>
        <x:v>-3348429</x:v>
      </x:c>
      <x:c r="K130" s="805">
        <x:f t="shared" si="26"/>
        <x:v>0</x:v>
      </x:c>
      <x:c r="L130" s="804">
        <x:f t="shared" si="26"/>
        <x:v>3348429</x:v>
      </x:c>
      <x:c r="M130" s="830" t="s">
        <x:v>1374</x:v>
      </x:c>
    </x:row>
    <x:row r="131" spans="1:13" s="689" customFormat="1" ht="21" customHeight="1">
      <x:c r="A131" s="841" t="s">
        <x:v>1419</x:v>
      </x:c>
      <x:c r="B131" s="840" t="s">
        <x:v>1295</x:v>
      </x:c>
      <x:c r="C131" s="788">
        <x:v>23234000</x:v>
      </x:c>
      <x:c r="D131" s="786">
        <x:v>0</x:v>
      </x:c>
      <x:c r="E131" s="785">
        <x:v>0</x:v>
      </x:c>
      <x:c r="F131" s="784">
        <x:v>0</x:v>
      </x:c>
      <x:c r="G131" s="786">
        <x:v>5446000</x:v>
      </x:c>
      <x:c r="H131" s="785">
        <x:v>2200</x:v>
      </x:c>
      <x:c r="I131" s="784">
        <x:v>5443800</x:v>
      </x:c>
      <x:c r="J131" s="786">
        <x:v>9313000</x:v>
      </x:c>
      <x:c r="K131" s="785">
        <x:v>7200000</x:v>
      </x:c>
      <x:c r="L131" s="784">
        <x:v>1275000</x:v>
      </x:c>
      <x:c r="M131" s="839" t="s">
        <x:v>1668</x:v>
      </x:c>
    </x:row>
    <x:row r="132" spans="1:13" s="689" customFormat="1" ht="21" customHeight="1">
      <x:c r="A132" s="834" t="s">
        <x:v>1891</x:v>
      </x:c>
      <x:c r="B132" s="709" t="s">
        <x:v>117</x:v>
      </x:c>
      <x:c r="C132" s="676">
        <x:v>22797000</x:v>
      </x:c>
      <x:c r="D132" s="674">
        <x:v>0</x:v>
      </x:c>
      <x:c r="E132" s="659">
        <x:v>0</x:v>
      </x:c>
      <x:c r="F132" s="672">
        <x:v>0</x:v>
      </x:c>
      <x:c r="G132" s="674">
        <x:v>5426000</x:v>
      </x:c>
      <x:c r="H132" s="673">
        <x:v>0</x:v>
      </x:c>
      <x:c r="I132" s="672">
        <x:v>5426000</x:v>
      </x:c>
      <x:c r="J132" s="660">
        <x:v>9313000</x:v>
      </x:c>
      <x:c r="K132" s="659">
        <x:v>7000000</x:v>
      </x:c>
      <x:c r="L132" s="658">
        <x:v>1058000</x:v>
      </x:c>
      <x:c r="M132" s="833" t="s">
        <x:v>1720</x:v>
      </x:c>
    </x:row>
    <x:row r="133" spans="1:13" s="689" customFormat="1" ht="21" customHeight="1">
      <x:c r="A133" s="834" t="s">
        <x:v>1418</x:v>
      </x:c>
      <x:c r="B133" s="709" t="s">
        <x:v>148</x:v>
      </x:c>
      <x:c r="C133" s="661">
        <x:v>417000</x:v>
      </x:c>
      <x:c r="D133" s="660">
        <x:v>0</x:v>
      </x:c>
      <x:c r="E133" s="659">
        <x:v>0</x:v>
      </x:c>
      <x:c r="F133" s="658">
        <x:v>0</x:v>
      </x:c>
      <x:c r="G133" s="660">
        <x:v>0</x:v>
      </x:c>
      <x:c r="H133" s="659">
        <x:v>0</x:v>
      </x:c>
      <x:c r="I133" s="658">
        <x:v>0</x:v>
      </x:c>
      <x:c r="J133" s="660">
        <x:v>0</x:v>
      </x:c>
      <x:c r="K133" s="659">
        <x:v>200000</x:v>
      </x:c>
      <x:c r="L133" s="658">
        <x:v>217000</x:v>
      </x:c>
      <x:c r="M133" s="651"/>
    </x:row>
    <x:row r="134" spans="1:13" s="689" customFormat="1" ht="21" customHeight="1">
      <x:c r="A134" s="834" t="s">
        <x:v>1748</x:v>
      </x:c>
      <x:c r="B134" s="838" t="s">
        <x:v>646</x:v>
      </x:c>
      <x:c r="C134" s="844">
        <x:v>20000</x:v>
      </x:c>
      <x:c r="D134" s="836">
        <x:v>0</x:v>
      </x:c>
      <x:c r="E134" s="659">
        <x:v>0</x:v>
      </x:c>
      <x:c r="F134" s="843">
        <x:v>0</x:v>
      </x:c>
      <x:c r="G134" s="660">
        <x:v>20000</x:v>
      </x:c>
      <x:c r="H134" s="837">
        <x:v>2200</x:v>
      </x:c>
      <x:c r="I134" s="843">
        <x:v>17800</x:v>
      </x:c>
      <x:c r="J134" s="660">
        <x:v>0</x:v>
      </x:c>
      <x:c r="K134" s="659">
        <x:v>0</x:v>
      </x:c>
      <x:c r="L134" s="658">
        <x:v>0</x:v>
      </x:c>
      <x:c r="M134" s="859"/>
    </x:row>
    <x:row r="135" spans="1:13" s="689" customFormat="1" ht="21" customHeight="1">
      <x:c r="A135" s="834" t="s">
        <x:v>1892</x:v>
      </x:c>
      <x:c r="B135" s="669" t="s">
        <x:v>1294</x:v>
      </x:c>
      <x:c r="C135" s="668">
        <x:f>D135+G135+J135+K135+L135</x:f>
        <x:v>23234000</x:v>
      </x:c>
      <x:c r="D135" s="666">
        <x:f t="shared" ref="D135:L135" si="27">D136+D137+D138</x:f>
        <x:v>0</x:v>
      </x:c>
      <x:c r="E135" s="665">
        <x:f t="shared" si="27"/>
        <x:v>0</x:v>
      </x:c>
      <x:c r="F135" s="664">
        <x:f t="shared" si="27"/>
        <x:v>0</x:v>
      </x:c>
      <x:c r="G135" s="666">
        <x:f t="shared" si="27"/>
        <x:v>5446000</x:v>
      </x:c>
      <x:c r="H135" s="665">
        <x:f t="shared" si="27"/>
        <x:v>239374</x:v>
      </x:c>
      <x:c r="I135" s="664">
        <x:f t="shared" si="27"/>
        <x:v>5206626</x:v>
      </x:c>
      <x:c r="J135" s="666">
        <x:f t="shared" si="27"/>
        <x:v>1000000</x:v>
      </x:c>
      <x:c r="K135" s="665">
        <x:f t="shared" si="27"/>
        <x:v>7200000</x:v>
      </x:c>
      <x:c r="L135" s="664">
        <x:f t="shared" si="27"/>
        <x:v>9588000</x:v>
      </x:c>
      <x:c r="M135" s="833"/>
    </x:row>
    <x:row r="136" spans="1:13" s="689" customFormat="1" ht="21" customHeight="1">
      <x:c r="A136" s="834"/>
      <x:c r="B136" s="709" t="s">
        <x:v>117</x:v>
      </x:c>
      <x:c r="C136" s="661">
        <x:f>D136+G136+J136+K136+L136</x:f>
        <x:v>22797000</x:v>
      </x:c>
      <x:c r="D136" s="660">
        <x:v>0</x:v>
      </x:c>
      <x:c r="E136" s="659">
        <x:v>0</x:v>
      </x:c>
      <x:c r="F136" s="658">
        <x:v>0</x:v>
      </x:c>
      <x:c r="G136" s="660">
        <x:v>5426000</x:v>
      </x:c>
      <x:c r="H136" s="659">
        <x:v>237174</x:v>
      </x:c>
      <x:c r="I136" s="658">
        <x:f>G136-H136</x:f>
        <x:v>5188826</x:v>
      </x:c>
      <x:c r="J136" s="660">
        <x:v>1000000</x:v>
      </x:c>
      <x:c r="K136" s="659">
        <x:v>7000000</x:v>
      </x:c>
      <x:c r="L136" s="658">
        <x:f>1058000+8313000</x:f>
        <x:v>9371000</x:v>
      </x:c>
      <x:c r="M136" s="651"/>
    </x:row>
    <x:row r="137" spans="1:13" s="689" customFormat="1" ht="21" customHeight="1">
      <x:c r="A137" s="835" t="s">
        <x:v>454</x:v>
      </x:c>
      <x:c r="B137" s="709" t="s">
        <x:v>148</x:v>
      </x:c>
      <x:c r="C137" s="661">
        <x:f>D137+G137+J137+K137+L137</x:f>
        <x:v>417000</x:v>
      </x:c>
      <x:c r="D137" s="660">
        <x:v>0</x:v>
      </x:c>
      <x:c r="E137" s="659">
        <x:v>0</x:v>
      </x:c>
      <x:c r="F137" s="658">
        <x:v>0</x:v>
      </x:c>
      <x:c r="G137" s="660"/>
      <x:c r="H137" s="659"/>
      <x:c r="I137" s="658">
        <x:f>G137-H137</x:f>
        <x:v>0</x:v>
      </x:c>
      <x:c r="J137" s="660">
        <x:v>0</x:v>
      </x:c>
      <x:c r="K137" s="659">
        <x:v>200000</x:v>
      </x:c>
      <x:c r="L137" s="658">
        <x:v>217000</x:v>
      </x:c>
      <x:c r="M137" s="651"/>
    </x:row>
    <x:row r="138" spans="1:13" s="689" customFormat="1" ht="21" customHeight="1">
      <x:c r="A138" s="834"/>
      <x:c r="B138" s="842" t="s">
        <x:v>646</x:v>
      </x:c>
      <x:c r="C138" s="661">
        <x:f>D138+G138+J138+K138+L138</x:f>
        <x:v>20000</x:v>
      </x:c>
      <x:c r="D138" s="660">
        <x:v>0</x:v>
      </x:c>
      <x:c r="E138" s="837">
        <x:v>0</x:v>
      </x:c>
      <x:c r="F138" s="658">
        <x:v>0</x:v>
      </x:c>
      <x:c r="G138" s="836">
        <x:v>20000</x:v>
      </x:c>
      <x:c r="H138" s="659">
        <x:v>2200</x:v>
      </x:c>
      <x:c r="I138" s="658">
        <x:f>G138-H138</x:f>
        <x:v>17800</x:v>
      </x:c>
      <x:c r="J138" s="660">
        <x:v>0</x:v>
      </x:c>
      <x:c r="K138" s="659">
        <x:v>0</x:v>
      </x:c>
      <x:c r="L138" s="658">
        <x:v>0</x:v>
      </x:c>
      <x:c r="M138" s="833"/>
    </x:row>
    <x:row r="139" spans="1:13" s="689" customFormat="1" ht="21" customHeight="1">
      <x:c r="A139" s="832"/>
      <x:c r="B139" s="831" t="s">
        <x:v>456</x:v>
      </x:c>
      <x:c r="C139" s="807">
        <x:f t="shared" ref="C139:L139" si="28">C135-C131</x:f>
        <x:v>0</x:v>
      </x:c>
      <x:c r="D139" s="806">
        <x:f t="shared" si="28"/>
        <x:v>0</x:v>
      </x:c>
      <x:c r="E139" s="805">
        <x:f t="shared" si="28"/>
        <x:v>0</x:v>
      </x:c>
      <x:c r="F139" s="804">
        <x:f t="shared" si="28"/>
        <x:v>0</x:v>
      </x:c>
      <x:c r="G139" s="806">
        <x:f t="shared" si="28"/>
        <x:v>0</x:v>
      </x:c>
      <x:c r="H139" s="805">
        <x:f t="shared" si="28"/>
        <x:v>237174</x:v>
      </x:c>
      <x:c r="I139" s="804">
        <x:f t="shared" si="28"/>
        <x:v>-237174</x:v>
      </x:c>
      <x:c r="J139" s="806">
        <x:f t="shared" si="28"/>
        <x:v>-8313000</x:v>
      </x:c>
      <x:c r="K139" s="805">
        <x:f t="shared" si="28"/>
        <x:v>0</x:v>
      </x:c>
      <x:c r="L139" s="804">
        <x:f t="shared" si="28"/>
        <x:v>8313000</x:v>
      </x:c>
      <x:c r="M139" s="830" t="s">
        <x:v>1374</x:v>
      </x:c>
    </x:row>
    <x:row r="140" spans="1:13" s="689" customFormat="1" ht="21" customHeight="1">
      <x:c r="A140" s="841" t="s">
        <x:v>1426</x:v>
      </x:c>
      <x:c r="B140" s="840" t="s">
        <x:v>1295</x:v>
      </x:c>
      <x:c r="C140" s="788">
        <x:v>176110000</x:v>
      </x:c>
      <x:c r="D140" s="786">
        <x:v>140330000</x:v>
      </x:c>
      <x:c r="E140" s="785">
        <x:v>140224073</x:v>
      </x:c>
      <x:c r="F140" s="784">
        <x:v>105927</x:v>
      </x:c>
      <x:c r="G140" s="786">
        <x:v>14260000</x:v>
      </x:c>
      <x:c r="H140" s="785">
        <x:v>3004557</x:v>
      </x:c>
      <x:c r="I140" s="784">
        <x:v>11255443</x:v>
      </x:c>
      <x:c r="J140" s="786">
        <x:v>10725000</x:v>
      </x:c>
      <x:c r="K140" s="785">
        <x:v>8750000</x:v>
      </x:c>
      <x:c r="L140" s="784">
        <x:v>2045000</x:v>
      </x:c>
      <x:c r="M140" s="839" t="s">
        <x:v>1668</x:v>
      </x:c>
    </x:row>
    <x:row r="141" spans="1:13" s="689" customFormat="1" ht="21" customHeight="1">
      <x:c r="A141" s="834" t="s">
        <x:v>1751</x:v>
      </x:c>
      <x:c r="B141" s="709" t="s">
        <x:v>117</x:v>
      </x:c>
      <x:c r="C141" s="676">
        <x:v>171383000</x:v>
      </x:c>
      <x:c r="D141" s="674">
        <x:v>139330000</x:v>
      </x:c>
      <x:c r="E141" s="659">
        <x:v>139330000</x:v>
      </x:c>
      <x:c r="F141" s="672">
        <x:v>0</x:v>
      </x:c>
      <x:c r="G141" s="674">
        <x:v>13460000</x:v>
      </x:c>
      <x:c r="H141" s="673">
        <x:v>2750557</x:v>
      </x:c>
      <x:c r="I141" s="672">
        <x:v>10709443</x:v>
      </x:c>
      <x:c r="J141" s="660">
        <x:v>10000000</x:v>
      </x:c>
      <x:c r="K141" s="659">
        <x:v>8000000</x:v>
      </x:c>
      <x:c r="L141" s="658">
        <x:v>593000</x:v>
      </x:c>
      <x:c r="M141" s="651" t="s">
        <x:v>1886</x:v>
      </x:c>
    </x:row>
    <x:row r="142" spans="1:13" s="689" customFormat="1" ht="21" customHeight="1">
      <x:c r="A142" s="834" t="s">
        <x:v>1880</x:v>
      </x:c>
      <x:c r="B142" s="709" t="s">
        <x:v>148</x:v>
      </x:c>
      <x:c r="C142" s="661">
        <x:v>4227000</x:v>
      </x:c>
      <x:c r="D142" s="660">
        <x:v>900000</x:v>
      </x:c>
      <x:c r="E142" s="659">
        <x:v>819580</x:v>
      </x:c>
      <x:c r="F142" s="658">
        <x:v>80420</x:v>
      </x:c>
      <x:c r="G142" s="660">
        <x:v>800000</x:v>
      </x:c>
      <x:c r="H142" s="659">
        <x:v>254000</x:v>
      </x:c>
      <x:c r="I142" s="658">
        <x:v>546000</x:v>
      </x:c>
      <x:c r="J142" s="660">
        <x:v>700000</x:v>
      </x:c>
      <x:c r="K142" s="659">
        <x:v>700000</x:v>
      </x:c>
      <x:c r="L142" s="658">
        <x:v>1127000</x:v>
      </x:c>
      <x:c r="M142" s="833" t="s">
        <x:v>1720</x:v>
      </x:c>
    </x:row>
    <x:row r="143" spans="1:13" s="689" customFormat="1" ht="21" customHeight="1">
      <x:c r="A143" s="834" t="s">
        <x:v>1750</x:v>
      </x:c>
      <x:c r="B143" s="838" t="s">
        <x:v>646</x:v>
      </x:c>
      <x:c r="C143" s="661">
        <x:v>500000</x:v>
      </x:c>
      <x:c r="D143" s="836">
        <x:v>100000</x:v>
      </x:c>
      <x:c r="E143" s="659">
        <x:v>74493</x:v>
      </x:c>
      <x:c r="F143" s="843">
        <x:v>25507</x:v>
      </x:c>
      <x:c r="G143" s="660">
        <x:v>0</x:v>
      </x:c>
      <x:c r="H143" s="837">
        <x:v>0</x:v>
      </x:c>
      <x:c r="I143" s="843">
        <x:v>0</x:v>
      </x:c>
      <x:c r="J143" s="660">
        <x:v>25000</x:v>
      </x:c>
      <x:c r="K143" s="659">
        <x:v>50000</x:v>
      </x:c>
      <x:c r="L143" s="658">
        <x:v>325000</x:v>
      </x:c>
      <x:c r="M143" s="833"/>
    </x:row>
    <x:row r="144" spans="1:13" s="689" customFormat="1" ht="21" customHeight="1">
      <x:c r="A144" s="834" t="s">
        <x:v>1879</x:v>
      </x:c>
      <x:c r="B144" s="669" t="s">
        <x:v>1294</x:v>
      </x:c>
      <x:c r="C144" s="668">
        <x:f>D144+G144+J144+K144+L144</x:f>
        <x:v>176110000</x:v>
      </x:c>
      <x:c r="D144" s="666">
        <x:f t="shared" ref="D144:L144" si="29">D145+D146+D147</x:f>
        <x:v>140330000</x:v>
      </x:c>
      <x:c r="E144" s="665">
        <x:f t="shared" si="29"/>
        <x:v>140224073</x:v>
      </x:c>
      <x:c r="F144" s="664">
        <x:f t="shared" si="29"/>
        <x:v>105927</x:v>
      </x:c>
      <x:c r="G144" s="666">
        <x:f t="shared" si="29"/>
        <x:v>14260000</x:v>
      </x:c>
      <x:c r="H144" s="665">
        <x:f t="shared" si="29"/>
        <x:v>13958938</x:v>
      </x:c>
      <x:c r="I144" s="664">
        <x:f t="shared" si="29"/>
        <x:v>301062</x:v>
      </x:c>
      <x:c r="J144" s="666">
        <x:f t="shared" si="29"/>
        <x:v>4725000</x:v>
      </x:c>
      <x:c r="K144" s="665">
        <x:f t="shared" si="29"/>
        <x:v>8750000</x:v>
      </x:c>
      <x:c r="L144" s="664">
        <x:f t="shared" si="29"/>
        <x:v>8045000</x:v>
      </x:c>
      <x:c r="M144" s="833"/>
    </x:row>
    <x:row r="145" spans="1:13" s="689" customFormat="1" ht="21" customHeight="1">
      <x:c r="A145" s="834"/>
      <x:c r="B145" s="709" t="s">
        <x:v>117</x:v>
      </x:c>
      <x:c r="C145" s="661">
        <x:f>D145+G145+J145+K145+L145</x:f>
        <x:v>171543000</x:v>
      </x:c>
      <x:c r="D145" s="660">
        <x:v>139330000</x:v>
      </x:c>
      <x:c r="E145" s="659">
        <x:v>139330000</x:v>
      </x:c>
      <x:c r="F145" s="658">
        <x:v>0</x:v>
      </x:c>
      <x:c r="G145" s="660">
        <x:v>13620000</x:v>
      </x:c>
      <x:c r="H145" s="659">
        <x:v>13394558</x:v>
      </x:c>
      <x:c r="I145" s="658">
        <x:f>G145-H145</x:f>
        <x:v>225442</x:v>
      </x:c>
      <x:c r="J145" s="660">
        <x:v>4000000</x:v>
      </x:c>
      <x:c r="K145" s="659">
        <x:v>8000000</x:v>
      </x:c>
      <x:c r="L145" s="658">
        <x:f>593000+6000000</x:f>
        <x:v>6593000</x:v>
      </x:c>
      <x:c r="M145" s="651"/>
    </x:row>
    <x:row r="146" spans="1:13" s="689" customFormat="1" ht="21" customHeight="1">
      <x:c r="A146" s="835" t="s">
        <x:v>454</x:v>
      </x:c>
      <x:c r="B146" s="709" t="s">
        <x:v>148</x:v>
      </x:c>
      <x:c r="C146" s="661">
        <x:f>D146+G146+J146+K146+L146</x:f>
        <x:v>4067000</x:v>
      </x:c>
      <x:c r="D146" s="660">
        <x:v>900000</x:v>
      </x:c>
      <x:c r="E146" s="659">
        <x:v>819580</x:v>
      </x:c>
      <x:c r="F146" s="658">
        <x:v>80420</x:v>
      </x:c>
      <x:c r="G146" s="660">
        <x:v>640000</x:v>
      </x:c>
      <x:c r="H146" s="659">
        <x:v>564380</x:v>
      </x:c>
      <x:c r="I146" s="658">
        <x:f>G146-H146</x:f>
        <x:v>75620</x:v>
      </x:c>
      <x:c r="J146" s="660">
        <x:v>700000</x:v>
      </x:c>
      <x:c r="K146" s="659">
        <x:v>700000</x:v>
      </x:c>
      <x:c r="L146" s="658">
        <x:v>1127000</x:v>
      </x:c>
      <x:c r="M146" s="651"/>
    </x:row>
    <x:row r="147" spans="1:13" s="689" customFormat="1" ht="21" customHeight="1">
      <x:c r="A147" s="834"/>
      <x:c r="B147" s="842" t="s">
        <x:v>646</x:v>
      </x:c>
      <x:c r="C147" s="661">
        <x:f>D147+G147+J147+K147+L147</x:f>
        <x:v>500000</x:v>
      </x:c>
      <x:c r="D147" s="660">
        <x:v>100000</x:v>
      </x:c>
      <x:c r="E147" s="837">
        <x:v>74493</x:v>
      </x:c>
      <x:c r="F147" s="658">
        <x:v>25507</x:v>
      </x:c>
      <x:c r="G147" s="836">
        <x:v>0</x:v>
      </x:c>
      <x:c r="H147" s="659">
        <x:v>0</x:v>
      </x:c>
      <x:c r="I147" s="658">
        <x:f>G147-H147</x:f>
        <x:v>0</x:v>
      </x:c>
      <x:c r="J147" s="660">
        <x:v>25000</x:v>
      </x:c>
      <x:c r="K147" s="659">
        <x:v>50000</x:v>
      </x:c>
      <x:c r="L147" s="658">
        <x:v>325000</x:v>
      </x:c>
      <x:c r="M147" s="833"/>
    </x:row>
    <x:row r="148" spans="1:13" s="689" customFormat="1" ht="21" customHeight="1">
      <x:c r="A148" s="832"/>
      <x:c r="B148" s="831" t="s">
        <x:v>456</x:v>
      </x:c>
      <x:c r="C148" s="807">
        <x:f t="shared" ref="C148:L148" si="30">C144-C140</x:f>
        <x:v>0</x:v>
      </x:c>
      <x:c r="D148" s="806">
        <x:f t="shared" si="30"/>
        <x:v>0</x:v>
      </x:c>
      <x:c r="E148" s="805">
        <x:f t="shared" si="30"/>
        <x:v>0</x:v>
      </x:c>
      <x:c r="F148" s="804">
        <x:f t="shared" si="30"/>
        <x:v>0</x:v>
      </x:c>
      <x:c r="G148" s="806">
        <x:f t="shared" si="30"/>
        <x:v>0</x:v>
      </x:c>
      <x:c r="H148" s="805">
        <x:f t="shared" si="30"/>
        <x:v>10954381</x:v>
      </x:c>
      <x:c r="I148" s="804">
        <x:f t="shared" si="30"/>
        <x:v>-10954381</x:v>
      </x:c>
      <x:c r="J148" s="806">
        <x:f t="shared" si="30"/>
        <x:v>-6000000</x:v>
      </x:c>
      <x:c r="K148" s="805">
        <x:f t="shared" si="30"/>
        <x:v>0</x:v>
      </x:c>
      <x:c r="L148" s="804">
        <x:f t="shared" si="30"/>
        <x:v>6000000</x:v>
      </x:c>
      <x:c r="M148" s="830" t="s">
        <x:v>1374</x:v>
      </x:c>
    </x:row>
    <x:row r="149" spans="1:13" s="689" customFormat="1" ht="21" customHeight="1">
      <x:c r="A149" s="841" t="s">
        <x:v>1396</x:v>
      </x:c>
      <x:c r="B149" s="840" t="s">
        <x:v>1295</x:v>
      </x:c>
      <x:c r="C149" s="788">
        <x:v>74639661</x:v>
      </x:c>
      <x:c r="D149" s="786">
        <x:v>46200000</x:v>
      </x:c>
      <x:c r="E149" s="785">
        <x:v>45923188</x:v>
      </x:c>
      <x:c r="F149" s="784">
        <x:v>276812</x:v>
      </x:c>
      <x:c r="G149" s="786">
        <x:v>5320000</x:v>
      </x:c>
      <x:c r="H149" s="785">
        <x:v>2762175</x:v>
      </x:c>
      <x:c r="I149" s="784">
        <x:v>2557825</x:v>
      </x:c>
      <x:c r="J149" s="786">
        <x:v>10800000</x:v>
      </x:c>
      <x:c r="K149" s="785">
        <x:v>8800000</x:v>
      </x:c>
      <x:c r="L149" s="784">
        <x:v>3519661</x:v>
      </x:c>
      <x:c r="M149" s="839" t="s">
        <x:v>1668</x:v>
      </x:c>
    </x:row>
    <x:row r="150" spans="1:13" s="689" customFormat="1" ht="21" customHeight="1">
      <x:c r="A150" s="834" t="s">
        <x:v>1889</x:v>
      </x:c>
      <x:c r="B150" s="709" t="s">
        <x:v>117</x:v>
      </x:c>
      <x:c r="C150" s="676">
        <x:v>68405756</x:v>
      </x:c>
      <x:c r="D150" s="674">
        <x:v>44735875</x:v>
      </x:c>
      <x:c r="E150" s="659">
        <x:v>44735875</x:v>
      </x:c>
      <x:c r="F150" s="672">
        <x:v>0</x:v>
      </x:c>
      <x:c r="G150" s="674">
        <x:v>4620000</x:v>
      </x:c>
      <x:c r="H150" s="673">
        <x:v>2454415</x:v>
      </x:c>
      <x:c r="I150" s="672">
        <x:v>2165585</x:v>
      </x:c>
      <x:c r="J150" s="660">
        <x:v>10000000</x:v>
      </x:c>
      <x:c r="K150" s="659">
        <x:v>8000000</x:v>
      </x:c>
      <x:c r="L150" s="658">
        <x:v>1049881</x:v>
      </x:c>
      <x:c r="M150" s="833" t="s">
        <x:v>1720</x:v>
      </x:c>
    </x:row>
    <x:row r="151" spans="1:13" s="689" customFormat="1" ht="21" customHeight="1">
      <x:c r="A151" s="834" t="s">
        <x:v>1877</x:v>
      </x:c>
      <x:c r="B151" s="709" t="s">
        <x:v>148</x:v>
      </x:c>
      <x:c r="C151" s="661">
        <x:v>5640000</x:v>
      </x:c>
      <x:c r="D151" s="660">
        <x:v>970220</x:v>
      </x:c>
      <x:c r="E151" s="659">
        <x:v>970220</x:v>
      </x:c>
      <x:c r="F151" s="658">
        <x:v>0</x:v>
      </x:c>
      <x:c r="G151" s="660">
        <x:v>700000</x:v>
      </x:c>
      <x:c r="H151" s="659">
        <x:v>307760</x:v>
      </x:c>
      <x:c r="I151" s="658">
        <x:v>392240</x:v>
      </x:c>
      <x:c r="J151" s="660">
        <x:v>700000</x:v>
      </x:c>
      <x:c r="K151" s="659">
        <x:v>800000</x:v>
      </x:c>
      <x:c r="L151" s="658">
        <x:v>2469780</x:v>
      </x:c>
      <x:c r="M151" s="833"/>
    </x:row>
    <x:row r="152" spans="1:13" s="689" customFormat="1" ht="21" customHeight="1">
      <x:c r="A152" s="834" t="s">
        <x:v>1745</x:v>
      </x:c>
      <x:c r="B152" s="838" t="s">
        <x:v>646</x:v>
      </x:c>
      <x:c r="C152" s="844">
        <x:v>593905</x:v>
      </x:c>
      <x:c r="D152" s="836">
        <x:v>493905</x:v>
      </x:c>
      <x:c r="E152" s="659">
        <x:v>217093</x:v>
      </x:c>
      <x:c r="F152" s="843">
        <x:v>276812</x:v>
      </x:c>
      <x:c r="G152" s="836">
        <x:v>0</x:v>
      </x:c>
      <x:c r="H152" s="837">
        <x:v>0</x:v>
      </x:c>
      <x:c r="I152" s="843">
        <x:v>0</x:v>
      </x:c>
      <x:c r="J152" s="660">
        <x:v>100000</x:v>
      </x:c>
      <x:c r="K152" s="659">
        <x:v>0</x:v>
      </x:c>
      <x:c r="L152" s="658">
        <x:v>0</x:v>
      </x:c>
      <x:c r="M152" s="833"/>
    </x:row>
    <x:row r="153" spans="1:13" s="689" customFormat="1" ht="21" customHeight="1">
      <x:c r="A153" s="834" t="s">
        <x:v>1824</x:v>
      </x:c>
      <x:c r="B153" s="669" t="s">
        <x:v>1294</x:v>
      </x:c>
      <x:c r="C153" s="668">
        <x:f>D153+G153+J153+K153+L153</x:f>
        <x:v>74639661</x:v>
      </x:c>
      <x:c r="D153" s="666">
        <x:f t="shared" ref="D153:L153" si="31">D154+D155+D156</x:f>
        <x:v>46200000</x:v>
      </x:c>
      <x:c r="E153" s="665">
        <x:f t="shared" si="31"/>
        <x:v>45923188</x:v>
      </x:c>
      <x:c r="F153" s="664">
        <x:f t="shared" si="31"/>
        <x:v>276812</x:v>
      </x:c>
      <x:c r="G153" s="666">
        <x:f t="shared" si="31"/>
        <x:v>5320000</x:v>
      </x:c>
      <x:c r="H153" s="665">
        <x:f t="shared" si="31"/>
        <x:v>5191698</x:v>
      </x:c>
      <x:c r="I153" s="664">
        <x:f t="shared" si="31"/>
        <x:v>128302</x:v>
      </x:c>
      <x:c r="J153" s="666">
        <x:f t="shared" si="31"/>
        <x:v>6100000</x:v>
      </x:c>
      <x:c r="K153" s="665">
        <x:f t="shared" si="31"/>
        <x:v>8800000</x:v>
      </x:c>
      <x:c r="L153" s="664">
        <x:f t="shared" si="31"/>
        <x:v>8219661</x:v>
      </x:c>
      <x:c r="M153" s="833"/>
    </x:row>
    <x:row r="154" spans="1:13" s="689" customFormat="1" ht="21" customHeight="1">
      <x:c r="A154" s="834"/>
      <x:c r="B154" s="709" t="s">
        <x:v>117</x:v>
      </x:c>
      <x:c r="C154" s="661">
        <x:f>D154+G154+J154+K154+L154</x:f>
        <x:v>68405756</x:v>
      </x:c>
      <x:c r="D154" s="660">
        <x:v>44735875</x:v>
      </x:c>
      <x:c r="E154" s="659">
        <x:v>44735875</x:v>
      </x:c>
      <x:c r="F154" s="658">
        <x:v>0</x:v>
      </x:c>
      <x:c r="G154" s="660">
        <x:v>4620000</x:v>
      </x:c>
      <x:c r="H154" s="659">
        <x:v>4491698</x:v>
      </x:c>
      <x:c r="I154" s="658">
        <x:f>G154-H154</x:f>
        <x:v>128302</x:v>
      </x:c>
      <x:c r="J154" s="660">
        <x:v>5300000</x:v>
      </x:c>
      <x:c r="K154" s="659">
        <x:v>8000000</x:v>
      </x:c>
      <x:c r="L154" s="658">
        <x:f>1049881+4700000</x:f>
        <x:v>5749881</x:v>
      </x:c>
      <x:c r="M154" s="651"/>
    </x:row>
    <x:row r="155" spans="1:13" s="689" customFormat="1" ht="21" customHeight="1">
      <x:c r="A155" s="835" t="s">
        <x:v>454</x:v>
      </x:c>
      <x:c r="B155" s="709" t="s">
        <x:v>148</x:v>
      </x:c>
      <x:c r="C155" s="661">
        <x:f>D155+G155+J155+K155+L155</x:f>
        <x:v>5640000</x:v>
      </x:c>
      <x:c r="D155" s="660">
        <x:v>970220</x:v>
      </x:c>
      <x:c r="E155" s="659">
        <x:v>970220</x:v>
      </x:c>
      <x:c r="F155" s="658">
        <x:v>0</x:v>
      </x:c>
      <x:c r="G155" s="660">
        <x:v>700000</x:v>
      </x:c>
      <x:c r="H155" s="659">
        <x:v>700000</x:v>
      </x:c>
      <x:c r="I155" s="658">
        <x:f>G155-H155</x:f>
        <x:v>0</x:v>
      </x:c>
      <x:c r="J155" s="660">
        <x:v>700000</x:v>
      </x:c>
      <x:c r="K155" s="659">
        <x:v>800000</x:v>
      </x:c>
      <x:c r="L155" s="658">
        <x:v>2469780</x:v>
      </x:c>
      <x:c r="M155" s="651"/>
    </x:row>
    <x:row r="156" spans="1:13" s="689" customFormat="1" ht="21" customHeight="1">
      <x:c r="A156" s="834"/>
      <x:c r="B156" s="842" t="s">
        <x:v>646</x:v>
      </x:c>
      <x:c r="C156" s="661">
        <x:f>D156+G156+J156+K156+L156</x:f>
        <x:v>593905</x:v>
      </x:c>
      <x:c r="D156" s="660">
        <x:v>493905</x:v>
      </x:c>
      <x:c r="E156" s="837">
        <x:v>217093</x:v>
      </x:c>
      <x:c r="F156" s="658">
        <x:v>276812</x:v>
      </x:c>
      <x:c r="G156" s="836">
        <x:v>0</x:v>
      </x:c>
      <x:c r="H156" s="659">
        <x:v>0</x:v>
      </x:c>
      <x:c r="I156" s="658">
        <x:f>G156-H156</x:f>
        <x:v>0</x:v>
      </x:c>
      <x:c r="J156" s="660">
        <x:v>100000</x:v>
      </x:c>
      <x:c r="K156" s="659">
        <x:v>0</x:v>
      </x:c>
      <x:c r="L156" s="658">
        <x:v>0</x:v>
      </x:c>
      <x:c r="M156" s="833"/>
    </x:row>
    <x:row r="157" spans="1:13" s="689" customFormat="1" ht="21" customHeight="1">
      <x:c r="A157" s="832"/>
      <x:c r="B157" s="831" t="s">
        <x:v>456</x:v>
      </x:c>
      <x:c r="C157" s="807">
        <x:f t="shared" ref="C157:L157" si="32">C153-C149</x:f>
        <x:v>0</x:v>
      </x:c>
      <x:c r="D157" s="806">
        <x:f t="shared" si="32"/>
        <x:v>0</x:v>
      </x:c>
      <x:c r="E157" s="805">
        <x:f t="shared" si="32"/>
        <x:v>0</x:v>
      </x:c>
      <x:c r="F157" s="804">
        <x:f t="shared" si="32"/>
        <x:v>0</x:v>
      </x:c>
      <x:c r="G157" s="806">
        <x:f t="shared" si="32"/>
        <x:v>0</x:v>
      </x:c>
      <x:c r="H157" s="805">
        <x:f t="shared" si="32"/>
        <x:v>2429523</x:v>
      </x:c>
      <x:c r="I157" s="804">
        <x:f t="shared" si="32"/>
        <x:v>-2429523</x:v>
      </x:c>
      <x:c r="J157" s="806">
        <x:f t="shared" si="32"/>
        <x:v>-4700000</x:v>
      </x:c>
      <x:c r="K157" s="805">
        <x:f t="shared" si="32"/>
        <x:v>0</x:v>
      </x:c>
      <x:c r="L157" s="804">
        <x:f t="shared" si="32"/>
        <x:v>4700000</x:v>
      </x:c>
      <x:c r="M157" s="830" t="s">
        <x:v>1374</x:v>
      </x:c>
    </x:row>
    <x:row r="158" spans="1:13" s="689" customFormat="1" ht="21" customHeight="1">
      <x:c r="A158" s="841" t="s">
        <x:v>1890</x:v>
      </x:c>
      <x:c r="B158" s="840" t="s">
        <x:v>1295</x:v>
      </x:c>
      <x:c r="C158" s="788">
        <x:v>61647000</x:v>
      </x:c>
      <x:c r="D158" s="786">
        <x:v>39898000</x:v>
      </x:c>
      <x:c r="E158" s="785">
        <x:v>39595659</x:v>
      </x:c>
      <x:c r="F158" s="784">
        <x:v>302341</x:v>
      </x:c>
      <x:c r="G158" s="786">
        <x:v>6456620</x:v>
      </x:c>
      <x:c r="H158" s="785">
        <x:v>3048374</x:v>
      </x:c>
      <x:c r="I158" s="784">
        <x:v>3408246</x:v>
      </x:c>
      <x:c r="J158" s="786">
        <x:v>9364000</x:v>
      </x:c>
      <x:c r="K158" s="785">
        <x:v>0</x:v>
      </x:c>
      <x:c r="L158" s="784">
        <x:v>5928380</x:v>
      </x:c>
      <x:c r="M158" s="839" t="s">
        <x:v>1668</x:v>
      </x:c>
    </x:row>
    <x:row r="159" spans="1:13" s="689" customFormat="1" ht="21" customHeight="1">
      <x:c r="A159" s="834" t="s">
        <x:v>1741</x:v>
      </x:c>
      <x:c r="B159" s="709" t="s">
        <x:v>117</x:v>
      </x:c>
      <x:c r="C159" s="676">
        <x:v>57926000</x:v>
      </x:c>
      <x:c r="D159" s="674">
        <x:v>37562000</x:v>
      </x:c>
      <x:c r="E159" s="659">
        <x:v>37259927</x:v>
      </x:c>
      <x:c r="F159" s="672">
        <x:v>302073</x:v>
      </x:c>
      <x:c r="G159" s="674">
        <x:v>5388620</x:v>
      </x:c>
      <x:c r="H159" s="673">
        <x:v>2463174</x:v>
      </x:c>
      <x:c r="I159" s="672">
        <x:v>2925446</x:v>
      </x:c>
      <x:c r="J159" s="660">
        <x:v>9047000</x:v>
      </x:c>
      <x:c r="K159" s="659">
        <x:v>0</x:v>
      </x:c>
      <x:c r="L159" s="658">
        <x:v>5928380</x:v>
      </x:c>
      <x:c r="M159" s="833" t="s">
        <x:v>1720</x:v>
      </x:c>
    </x:row>
    <x:row r="160" spans="1:13" s="689" customFormat="1" ht="21" customHeight="1">
      <x:c r="A160" s="834" t="s">
        <x:v>1888</x:v>
      </x:c>
      <x:c r="B160" s="709" t="s">
        <x:v>148</x:v>
      </x:c>
      <x:c r="C160" s="661">
        <x:v>3675000</x:v>
      </x:c>
      <x:c r="D160" s="660">
        <x:v>2300000</x:v>
      </x:c>
      <x:c r="E160" s="659">
        <x:v>2300000</x:v>
      </x:c>
      <x:c r="F160" s="658">
        <x:v>0</x:v>
      </x:c>
      <x:c r="G160" s="660">
        <x:v>1058000</x:v>
      </x:c>
      <x:c r="H160" s="659">
        <x:v>585200</x:v>
      </x:c>
      <x:c r="I160" s="658">
        <x:v>472800</x:v>
      </x:c>
      <x:c r="J160" s="660">
        <x:v>317000</x:v>
      </x:c>
      <x:c r="K160" s="659">
        <x:v>0</x:v>
      </x:c>
      <x:c r="L160" s="658">
        <x:v>0</x:v>
      </x:c>
      <x:c r="M160" s="833"/>
    </x:row>
    <x:row r="161" spans="1:13" s="689" customFormat="1" ht="21" customHeight="1">
      <x:c r="A161" s="834" t="s">
        <x:v>1887</x:v>
      </x:c>
      <x:c r="B161" s="838" t="s">
        <x:v>646</x:v>
      </x:c>
      <x:c r="C161" s="661">
        <x:v>46000</x:v>
      </x:c>
      <x:c r="D161" s="836">
        <x:v>36000</x:v>
      </x:c>
      <x:c r="E161" s="659">
        <x:v>35732</x:v>
      </x:c>
      <x:c r="F161" s="843">
        <x:v>268</x:v>
      </x:c>
      <x:c r="G161" s="660">
        <x:v>10000</x:v>
      </x:c>
      <x:c r="H161" s="837">
        <x:v>0</x:v>
      </x:c>
      <x:c r="I161" s="843">
        <x:v>10000</x:v>
      </x:c>
      <x:c r="J161" s="660">
        <x:v>0</x:v>
      </x:c>
      <x:c r="K161" s="659">
        <x:v>0</x:v>
      </x:c>
      <x:c r="L161" s="658">
        <x:v>0</x:v>
      </x:c>
      <x:c r="M161" s="833"/>
    </x:row>
    <x:row r="162" spans="1:13" s="689" customFormat="1" ht="21" customHeight="1">
      <x:c r="A162" s="834" t="s">
        <x:v>1876</x:v>
      </x:c>
      <x:c r="B162" s="669" t="s">
        <x:v>1294</x:v>
      </x:c>
      <x:c r="C162" s="668">
        <x:f>D162+G162+J162+K162+L162</x:f>
        <x:v>61647000</x:v>
      </x:c>
      <x:c r="D162" s="666">
        <x:f t="shared" ref="D162:L162" si="33">D163+D164+D165</x:f>
        <x:v>39898000</x:v>
      </x:c>
      <x:c r="E162" s="665">
        <x:f t="shared" si="33"/>
        <x:v>39595659</x:v>
      </x:c>
      <x:c r="F162" s="664">
        <x:f t="shared" si="33"/>
        <x:v>302341</x:v>
      </x:c>
      <x:c r="G162" s="666">
        <x:f t="shared" si="33"/>
        <x:v>6456620</x:v>
      </x:c>
      <x:c r="H162" s="665">
        <x:f t="shared" si="33"/>
        <x:v>5089074</x:v>
      </x:c>
      <x:c r="I162" s="664">
        <x:f t="shared" si="33"/>
        <x:v>1367546</x:v>
      </x:c>
      <x:c r="J162" s="666">
        <x:f t="shared" si="33"/>
        <x:v>13484000</x:v>
      </x:c>
      <x:c r="K162" s="665">
        <x:f t="shared" si="33"/>
        <x:v>0</x:v>
      </x:c>
      <x:c r="L162" s="664">
        <x:f t="shared" si="33"/>
        <x:v>1808380</x:v>
      </x:c>
      <x:c r="M162" s="833"/>
    </x:row>
    <x:row r="163" spans="1:13" s="689" customFormat="1" ht="21" customHeight="1">
      <x:c r="A163" s="834"/>
      <x:c r="B163" s="709" t="s">
        <x:v>117</x:v>
      </x:c>
      <x:c r="C163" s="661">
        <x:f>D163+G163+J163+K163+L163</x:f>
        <x:v>57807600</x:v>
      </x:c>
      <x:c r="D163" s="660">
        <x:v>37562000</x:v>
      </x:c>
      <x:c r="E163" s="659">
        <x:v>37259927</x:v>
      </x:c>
      <x:c r="F163" s="658">
        <x:v>302073</x:v>
      </x:c>
      <x:c r="G163" s="660">
        <x:v>5388620</x:v>
      </x:c>
      <x:c r="H163" s="659">
        <x:v>4503256</x:v>
      </x:c>
      <x:c r="I163" s="658">
        <x:f>G163-H163</x:f>
        <x:v>885364</x:v>
      </x:c>
      <x:c r="J163" s="660">
        <x:f>9047000+4001600</x:f>
        <x:v>13048600</x:v>
      </x:c>
      <x:c r="K163" s="659">
        <x:v>0</x:v>
      </x:c>
      <x:c r="L163" s="658">
        <x:f>5928380-4120000</x:f>
        <x:v>1808380</x:v>
      </x:c>
      <x:c r="M163" s="651"/>
    </x:row>
    <x:row r="164" spans="1:13" s="689" customFormat="1" ht="21" customHeight="1">
      <x:c r="A164" s="835" t="s">
        <x:v>454</x:v>
      </x:c>
      <x:c r="B164" s="709" t="s">
        <x:v>148</x:v>
      </x:c>
      <x:c r="C164" s="661">
        <x:f>D164+G164+J164+K164+L164</x:f>
        <x:v>3793400</x:v>
      </x:c>
      <x:c r="D164" s="660">
        <x:v>2300000</x:v>
      </x:c>
      <x:c r="E164" s="659">
        <x:v>2300000</x:v>
      </x:c>
      <x:c r="F164" s="658">
        <x:v>0</x:v>
      </x:c>
      <x:c r="G164" s="660">
        <x:v>1058000</x:v>
      </x:c>
      <x:c r="H164" s="659">
        <x:v>585200</x:v>
      </x:c>
      <x:c r="I164" s="658">
        <x:f>G164-H164</x:f>
        <x:v>472800</x:v>
      </x:c>
      <x:c r="J164" s="660">
        <x:f>317000+118400</x:f>
        <x:v>435400</x:v>
      </x:c>
      <x:c r="K164" s="659">
        <x:v>0</x:v>
      </x:c>
      <x:c r="L164" s="658">
        <x:v>0</x:v>
      </x:c>
      <x:c r="M164" s="651"/>
    </x:row>
    <x:row r="165" spans="1:13" s="689" customFormat="1" ht="21" customHeight="1">
      <x:c r="A165" s="834"/>
      <x:c r="B165" s="842" t="s">
        <x:v>646</x:v>
      </x:c>
      <x:c r="C165" s="661">
        <x:f>D165+G165+J165+K165+L165</x:f>
        <x:v>46000</x:v>
      </x:c>
      <x:c r="D165" s="660">
        <x:v>36000</x:v>
      </x:c>
      <x:c r="E165" s="837">
        <x:v>35732</x:v>
      </x:c>
      <x:c r="F165" s="658">
        <x:v>268</x:v>
      </x:c>
      <x:c r="G165" s="836">
        <x:v>10000</x:v>
      </x:c>
      <x:c r="H165" s="659">
        <x:v>618</x:v>
      </x:c>
      <x:c r="I165" s="658">
        <x:f>G165-H165</x:f>
        <x:v>9382</x:v>
      </x:c>
      <x:c r="J165" s="660">
        <x:v>0</x:v>
      </x:c>
      <x:c r="K165" s="659">
        <x:v>0</x:v>
      </x:c>
      <x:c r="L165" s="658">
        <x:v>0</x:v>
      </x:c>
      <x:c r="M165" s="833"/>
    </x:row>
    <x:row r="166" spans="1:13" s="689" customFormat="1" ht="21" customHeight="1">
      <x:c r="A166" s="832"/>
      <x:c r="B166" s="831" t="s">
        <x:v>456</x:v>
      </x:c>
      <x:c r="C166" s="807">
        <x:f t="shared" ref="C166:L166" si="34">C162-C158</x:f>
        <x:v>0</x:v>
      </x:c>
      <x:c r="D166" s="806">
        <x:f t="shared" si="34"/>
        <x:v>0</x:v>
      </x:c>
      <x:c r="E166" s="805">
        <x:f t="shared" si="34"/>
        <x:v>0</x:v>
      </x:c>
      <x:c r="F166" s="804">
        <x:f t="shared" si="34"/>
        <x:v>0</x:v>
      </x:c>
      <x:c r="G166" s="806">
        <x:f t="shared" si="34"/>
        <x:v>0</x:v>
      </x:c>
      <x:c r="H166" s="805">
        <x:f t="shared" si="34"/>
        <x:v>2040700</x:v>
      </x:c>
      <x:c r="I166" s="804">
        <x:f t="shared" si="34"/>
        <x:v>-2040700</x:v>
      </x:c>
      <x:c r="J166" s="806">
        <x:f t="shared" si="34"/>
        <x:v>4120000</x:v>
      </x:c>
      <x:c r="K166" s="805">
        <x:f t="shared" si="34"/>
        <x:v>0</x:v>
      </x:c>
      <x:c r="L166" s="804">
        <x:f t="shared" si="34"/>
        <x:v>-4120000</x:v>
      </x:c>
      <x:c r="M166" s="830" t="s">
        <x:v>1374</x:v>
      </x:c>
    </x:row>
    <x:row r="167" spans="1:13" s="689" customFormat="1" ht="21" customHeight="1">
      <x:c r="A167" s="841" t="s">
        <x:v>1406</x:v>
      </x:c>
      <x:c r="B167" s="840" t="s">
        <x:v>1295</x:v>
      </x:c>
      <x:c r="C167" s="788">
        <x:v>31873000</x:v>
      </x:c>
      <x:c r="D167" s="786">
        <x:v>870000</x:v>
      </x:c>
      <x:c r="E167" s="785">
        <x:v>862344</x:v>
      </x:c>
      <x:c r="F167" s="784">
        <x:v>7656</x:v>
      </x:c>
      <x:c r="G167" s="786">
        <x:v>0</x:v>
      </x:c>
      <x:c r="H167" s="785">
        <x:v>0</x:v>
      </x:c>
      <x:c r="I167" s="784">
        <x:v>0</x:v>
      </x:c>
      <x:c r="J167" s="786">
        <x:v>820000</x:v>
      </x:c>
      <x:c r="K167" s="785">
        <x:v>5000000</x:v>
      </x:c>
      <x:c r="L167" s="784">
        <x:v>25183000</x:v>
      </x:c>
      <x:c r="M167" s="839" t="s">
        <x:v>1668</x:v>
      </x:c>
    </x:row>
    <x:row r="168" spans="1:13" s="689" customFormat="1" ht="21" customHeight="1">
      <x:c r="A168" s="834" t="s">
        <x:v>1742</x:v>
      </x:c>
      <x:c r="B168" s="709" t="s">
        <x:v>117</x:v>
      </x:c>
      <x:c r="C168" s="676">
        <x:v>31045000</x:v>
      </x:c>
      <x:c r="D168" s="674">
        <x:v>866000</x:v>
      </x:c>
      <x:c r="E168" s="659">
        <x:v>859380</x:v>
      </x:c>
      <x:c r="F168" s="672">
        <x:v>6620</x:v>
      </x:c>
      <x:c r="G168" s="674">
        <x:v>0</x:v>
      </x:c>
      <x:c r="H168" s="673">
        <x:v>0</x:v>
      </x:c>
      <x:c r="I168" s="672">
        <x:v>0</x:v>
      </x:c>
      <x:c r="J168" s="660">
        <x:v>800000</x:v>
      </x:c>
      <x:c r="K168" s="659">
        <x:v>5000000</x:v>
      </x:c>
      <x:c r="L168" s="658">
        <x:v>24379000</x:v>
      </x:c>
      <x:c r="M168" s="833" t="s">
        <x:v>1720</x:v>
      </x:c>
    </x:row>
    <x:row r="169" spans="1:13" s="689" customFormat="1" ht="21" customHeight="1">
      <x:c r="A169" s="834" t="s">
        <x:v>1875</x:v>
      </x:c>
      <x:c r="B169" s="709" t="s">
        <x:v>148</x:v>
      </x:c>
      <x:c r="C169" s="661">
        <x:v>804000</x:v>
      </x:c>
      <x:c r="D169" s="660">
        <x:v>0</x:v>
      </x:c>
      <x:c r="E169" s="659">
        <x:v>0</x:v>
      </x:c>
      <x:c r="F169" s="658">
        <x:v>0</x:v>
      </x:c>
      <x:c r="G169" s="660">
        <x:v>0</x:v>
      </x:c>
      <x:c r="H169" s="659">
        <x:v>0</x:v>
      </x:c>
      <x:c r="I169" s="658">
        <x:v>0</x:v>
      </x:c>
      <x:c r="J169" s="660">
        <x:v>0</x:v>
      </x:c>
      <x:c r="K169" s="659">
        <x:v>0</x:v>
      </x:c>
      <x:c r="L169" s="658">
        <x:v>804000</x:v>
      </x:c>
      <x:c r="M169" s="833"/>
    </x:row>
    <x:row r="170" spans="1:13" s="689" customFormat="1" ht="21" customHeight="1">
      <x:c r="A170" s="834" t="s">
        <x:v>1744</x:v>
      </x:c>
      <x:c r="B170" s="838" t="s">
        <x:v>646</x:v>
      </x:c>
      <x:c r="C170" s="661">
        <x:v>24000</x:v>
      </x:c>
      <x:c r="D170" s="836">
        <x:v>4000</x:v>
      </x:c>
      <x:c r="E170" s="659">
        <x:v>2964</x:v>
      </x:c>
      <x:c r="F170" s="843">
        <x:v>1036</x:v>
      </x:c>
      <x:c r="G170" s="836">
        <x:v>0</x:v>
      </x:c>
      <x:c r="H170" s="837">
        <x:v>0</x:v>
      </x:c>
      <x:c r="I170" s="843">
        <x:v>0</x:v>
      </x:c>
      <x:c r="J170" s="660">
        <x:v>20000</x:v>
      </x:c>
      <x:c r="K170" s="659">
        <x:v>0</x:v>
      </x:c>
      <x:c r="L170" s="658">
        <x:v>0</x:v>
      </x:c>
      <x:c r="M170" s="833"/>
    </x:row>
    <x:row r="171" spans="1:13" s="689" customFormat="1" ht="21" customHeight="1">
      <x:c r="A171" s="834" t="s">
        <x:v>1874</x:v>
      </x:c>
      <x:c r="B171" s="669" t="s">
        <x:v>1294</x:v>
      </x:c>
      <x:c r="C171" s="668">
        <x:f>D171+G171+J171+K171+L171</x:f>
        <x:v>31873000</x:v>
      </x:c>
      <x:c r="D171" s="666">
        <x:f t="shared" ref="D171:L171" si="35">D172+D173+D174</x:f>
        <x:v>870000</x:v>
      </x:c>
      <x:c r="E171" s="665">
        <x:f t="shared" si="35"/>
        <x:v>862344</x:v>
      </x:c>
      <x:c r="F171" s="664">
        <x:f t="shared" si="35"/>
        <x:v>7656</x:v>
      </x:c>
      <x:c r="G171" s="666">
        <x:f t="shared" si="35"/>
        <x:v>0</x:v>
      </x:c>
      <x:c r="H171" s="665">
        <x:f t="shared" si="35"/>
        <x:v>0</x:v>
      </x:c>
      <x:c r="I171" s="664">
        <x:f t="shared" si="35"/>
        <x:v>0</x:v>
      </x:c>
      <x:c r="J171" s="666">
        <x:f t="shared" si="35"/>
        <x:v>720000</x:v>
      </x:c>
      <x:c r="K171" s="665">
        <x:f t="shared" si="35"/>
        <x:v>5000000</x:v>
      </x:c>
      <x:c r="L171" s="664">
        <x:f t="shared" si="35"/>
        <x:v>25283000</x:v>
      </x:c>
      <x:c r="M171" s="833"/>
    </x:row>
    <x:row r="172" spans="1:13" s="689" customFormat="1" ht="21" customHeight="1">
      <x:c r="A172" s="834"/>
      <x:c r="B172" s="709" t="s">
        <x:v>117</x:v>
      </x:c>
      <x:c r="C172" s="661">
        <x:f>D172+G172+J172+K172+L172</x:f>
        <x:v>31045000</x:v>
      </x:c>
      <x:c r="D172" s="660">
        <x:v>866000</x:v>
      </x:c>
      <x:c r="E172" s="659">
        <x:v>859380</x:v>
      </x:c>
      <x:c r="F172" s="658">
        <x:v>6620</x:v>
      </x:c>
      <x:c r="G172" s="660">
        <x:v>0</x:v>
      </x:c>
      <x:c r="H172" s="659">
        <x:v>0</x:v>
      </x:c>
      <x:c r="I172" s="658">
        <x:f>G172-H172</x:f>
        <x:v>0</x:v>
      </x:c>
      <x:c r="J172" s="660">
        <x:v>700000</x:v>
      </x:c>
      <x:c r="K172" s="659">
        <x:v>5000000</x:v>
      </x:c>
      <x:c r="L172" s="658">
        <x:f>24379000+100000</x:f>
        <x:v>24479000</x:v>
      </x:c>
      <x:c r="M172" s="651"/>
    </x:row>
    <x:row r="173" spans="1:13" s="689" customFormat="1" ht="21" customHeight="1">
      <x:c r="A173" s="835" t="s">
        <x:v>454</x:v>
      </x:c>
      <x:c r="B173" s="709" t="s">
        <x:v>148</x:v>
      </x:c>
      <x:c r="C173" s="661">
        <x:f>D173+G173+J173+K173+L173</x:f>
        <x:v>804000</x:v>
      </x:c>
      <x:c r="D173" s="660">
        <x:v>0</x:v>
      </x:c>
      <x:c r="E173" s="659">
        <x:v>0</x:v>
      </x:c>
      <x:c r="F173" s="658">
        <x:v>0</x:v>
      </x:c>
      <x:c r="G173" s="660">
        <x:v>0</x:v>
      </x:c>
      <x:c r="H173" s="659">
        <x:v>0</x:v>
      </x:c>
      <x:c r="I173" s="658">
        <x:f>G173-H173</x:f>
        <x:v>0</x:v>
      </x:c>
      <x:c r="J173" s="660">
        <x:v>0</x:v>
      </x:c>
      <x:c r="K173" s="659">
        <x:v>0</x:v>
      </x:c>
      <x:c r="L173" s="658">
        <x:v>804000</x:v>
      </x:c>
      <x:c r="M173" s="651"/>
    </x:row>
    <x:row r="174" spans="1:13" s="689" customFormat="1" ht="21" customHeight="1">
      <x:c r="A174" s="834"/>
      <x:c r="B174" s="842" t="s">
        <x:v>646</x:v>
      </x:c>
      <x:c r="C174" s="661">
        <x:f>D174+G174+J174+K174+L174</x:f>
        <x:v>24000</x:v>
      </x:c>
      <x:c r="D174" s="660">
        <x:v>4000</x:v>
      </x:c>
      <x:c r="E174" s="837">
        <x:v>2964</x:v>
      </x:c>
      <x:c r="F174" s="658">
        <x:v>1036</x:v>
      </x:c>
      <x:c r="G174" s="836">
        <x:v>0</x:v>
      </x:c>
      <x:c r="H174" s="659">
        <x:v>0</x:v>
      </x:c>
      <x:c r="I174" s="658">
        <x:f>G174-H174</x:f>
        <x:v>0</x:v>
      </x:c>
      <x:c r="J174" s="660">
        <x:v>20000</x:v>
      </x:c>
      <x:c r="K174" s="659">
        <x:v>0</x:v>
      </x:c>
      <x:c r="L174" s="658">
        <x:v>0</x:v>
      </x:c>
      <x:c r="M174" s="833"/>
    </x:row>
    <x:row r="175" spans="1:13" s="689" customFormat="1" ht="21" customHeight="1">
      <x:c r="A175" s="832"/>
      <x:c r="B175" s="831" t="s">
        <x:v>456</x:v>
      </x:c>
      <x:c r="C175" s="807">
        <x:f t="shared" ref="C175:L175" si="36">C171-C167</x:f>
        <x:v>0</x:v>
      </x:c>
      <x:c r="D175" s="806">
        <x:f t="shared" si="36"/>
        <x:v>0</x:v>
      </x:c>
      <x:c r="E175" s="805">
        <x:f t="shared" si="36"/>
        <x:v>0</x:v>
      </x:c>
      <x:c r="F175" s="804">
        <x:f t="shared" si="36"/>
        <x:v>0</x:v>
      </x:c>
      <x:c r="G175" s="806">
        <x:f t="shared" si="36"/>
        <x:v>0</x:v>
      </x:c>
      <x:c r="H175" s="805">
        <x:f t="shared" si="36"/>
        <x:v>0</x:v>
      </x:c>
      <x:c r="I175" s="804">
        <x:f t="shared" si="36"/>
        <x:v>0</x:v>
      </x:c>
      <x:c r="J175" s="806">
        <x:f t="shared" si="36"/>
        <x:v>-100000</x:v>
      </x:c>
      <x:c r="K175" s="805">
        <x:f t="shared" si="36"/>
        <x:v>0</x:v>
      </x:c>
      <x:c r="L175" s="804">
        <x:f t="shared" si="36"/>
        <x:v>100000</x:v>
      </x:c>
      <x:c r="M175" s="830" t="s">
        <x:v>1374</x:v>
      </x:c>
    </x:row>
    <x:row r="176" spans="1:13" s="689" customFormat="1" ht="21" customHeight="1">
      <x:c r="A176" s="841" t="s">
        <x:v>1395</x:v>
      </x:c>
      <x:c r="B176" s="840" t="s">
        <x:v>1295</x:v>
      </x:c>
      <x:c r="C176" s="788">
        <x:v>52110000</x:v>
      </x:c>
      <x:c r="D176" s="786">
        <x:v>11315000</x:v>
      </x:c>
      <x:c r="E176" s="785">
        <x:v>10810490</x:v>
      </x:c>
      <x:c r="F176" s="784">
        <x:v>504510</x:v>
      </x:c>
      <x:c r="G176" s="786">
        <x:v>1300000</x:v>
      </x:c>
      <x:c r="H176" s="785">
        <x:v>47286</x:v>
      </x:c>
      <x:c r="I176" s="784">
        <x:v>1252714</x:v>
      </x:c>
      <x:c r="J176" s="786">
        <x:v>4920000</x:v>
      </x:c>
      <x:c r="K176" s="785">
        <x:v>4210000</x:v>
      </x:c>
      <x:c r="L176" s="784">
        <x:v>30365000</x:v>
      </x:c>
      <x:c r="M176" s="839" t="s">
        <x:v>1668</x:v>
      </x:c>
    </x:row>
    <x:row r="177" spans="1:13" s="689" customFormat="1" ht="21" customHeight="1">
      <x:c r="A177" s="834" t="s">
        <x:v>1893</x:v>
      </x:c>
      <x:c r="B177" s="709" t="s">
        <x:v>117</x:v>
      </x:c>
      <x:c r="C177" s="676">
        <x:v>50110000</x:v>
      </x:c>
      <x:c r="D177" s="674">
        <x:v>10795000</x:v>
      </x:c>
      <x:c r="E177" s="659">
        <x:v>10794596</x:v>
      </x:c>
      <x:c r="F177" s="672">
        <x:v>404</x:v>
      </x:c>
      <x:c r="G177" s="674">
        <x:v>1000000</x:v>
      </x:c>
      <x:c r="H177" s="673">
        <x:v>47286</x:v>
      </x:c>
      <x:c r="I177" s="672">
        <x:v>952714</x:v>
      </x:c>
      <x:c r="J177" s="660">
        <x:v>4000000</x:v>
      </x:c>
      <x:c r="K177" s="659">
        <x:v>4000000</x:v>
      </x:c>
      <x:c r="L177" s="658">
        <x:v>30315000</x:v>
      </x:c>
      <x:c r="M177" s="833" t="s">
        <x:v>1720</x:v>
      </x:c>
    </x:row>
    <x:row r="178" spans="1:13" s="689" customFormat="1" ht="21" customHeight="1">
      <x:c r="A178" s="834" t="s">
        <x:v>1398</x:v>
      </x:c>
      <x:c r="B178" s="709" t="s">
        <x:v>148</x:v>
      </x:c>
      <x:c r="C178" s="661">
        <x:v>1930000</x:v>
      </x:c>
      <x:c r="D178" s="660">
        <x:v>500000</x:v>
      </x:c>
      <x:c r="E178" s="659">
        <x:v>0</x:v>
      </x:c>
      <x:c r="F178" s="658">
        <x:v>500000</x:v>
      </x:c>
      <x:c r="G178" s="660">
        <x:v>300000</x:v>
      </x:c>
      <x:c r="H178" s="659">
        <x:v>0</x:v>
      </x:c>
      <x:c r="I178" s="658">
        <x:v>300000</x:v>
      </x:c>
      <x:c r="J178" s="660">
        <x:v>900000</x:v>
      </x:c>
      <x:c r="K178" s="659">
        <x:v>200000</x:v>
      </x:c>
      <x:c r="L178" s="658">
        <x:v>30000</x:v>
      </x:c>
      <x:c r="M178" s="833"/>
    </x:row>
    <x:row r="179" spans="1:13" s="689" customFormat="1" ht="21" customHeight="1">
      <x:c r="A179" s="834" t="s">
        <x:v>1743</x:v>
      </x:c>
      <x:c r="B179" s="838" t="s">
        <x:v>646</x:v>
      </x:c>
      <x:c r="C179" s="844">
        <x:v>70000</x:v>
      </x:c>
      <x:c r="D179" s="836">
        <x:v>20000</x:v>
      </x:c>
      <x:c r="E179" s="659">
        <x:v>15894</x:v>
      </x:c>
      <x:c r="F179" s="843">
        <x:v>4106</x:v>
      </x:c>
      <x:c r="G179" s="836">
        <x:v>0</x:v>
      </x:c>
      <x:c r="H179" s="837">
        <x:v>0</x:v>
      </x:c>
      <x:c r="I179" s="843">
        <x:v>0</x:v>
      </x:c>
      <x:c r="J179" s="660">
        <x:v>20000</x:v>
      </x:c>
      <x:c r="K179" s="659">
        <x:v>10000</x:v>
      </x:c>
      <x:c r="L179" s="658">
        <x:v>20000</x:v>
      </x:c>
      <x:c r="M179" s="833"/>
    </x:row>
    <x:row r="180" spans="1:13" s="689" customFormat="1" ht="21" customHeight="1">
      <x:c r="A180" s="834" t="s">
        <x:v>1885</x:v>
      </x:c>
      <x:c r="B180" s="669" t="s">
        <x:v>1294</x:v>
      </x:c>
      <x:c r="C180" s="668">
        <x:f>D180+G180+J180+K180+L180</x:f>
        <x:v>52110000</x:v>
      </x:c>
      <x:c r="D180" s="666">
        <x:f t="shared" ref="D180:L180" si="37">D181+D182+D183</x:f>
        <x:v>11315000</x:v>
      </x:c>
      <x:c r="E180" s="665">
        <x:f t="shared" si="37"/>
        <x:v>10810490</x:v>
      </x:c>
      <x:c r="F180" s="664">
        <x:f t="shared" si="37"/>
        <x:v>504510</x:v>
      </x:c>
      <x:c r="G180" s="666">
        <x:f t="shared" si="37"/>
        <x:v>1300000</x:v>
      </x:c>
      <x:c r="H180" s="665">
        <x:f t="shared" si="37"/>
        <x:v>976168</x:v>
      </x:c>
      <x:c r="I180" s="664">
        <x:f t="shared" si="37"/>
        <x:v>323832</x:v>
      </x:c>
      <x:c r="J180" s="666">
        <x:f t="shared" si="37"/>
        <x:v>4220000</x:v>
      </x:c>
      <x:c r="K180" s="665">
        <x:f t="shared" si="37"/>
        <x:v>4210000</x:v>
      </x:c>
      <x:c r="L180" s="664">
        <x:f t="shared" si="37"/>
        <x:v>31065000</x:v>
      </x:c>
      <x:c r="M180" s="833"/>
    </x:row>
    <x:row r="181" spans="1:13" s="689" customFormat="1" ht="21" customHeight="1">
      <x:c r="A181" s="834"/>
      <x:c r="B181" s="709" t="s">
        <x:v>117</x:v>
      </x:c>
      <x:c r="C181" s="661">
        <x:f>D181+G181+J181+K181+L181</x:f>
        <x:v>50110000</x:v>
      </x:c>
      <x:c r="D181" s="660">
        <x:v>10795000</x:v>
      </x:c>
      <x:c r="E181" s="659">
        <x:v>10794596</x:v>
      </x:c>
      <x:c r="F181" s="658">
        <x:v>404</x:v>
      </x:c>
      <x:c r="G181" s="660">
        <x:v>1000000</x:v>
      </x:c>
      <x:c r="H181" s="659">
        <x:v>976168</x:v>
      </x:c>
      <x:c r="I181" s="658">
        <x:f>G181-H181</x:f>
        <x:v>23832</x:v>
      </x:c>
      <x:c r="J181" s="660">
        <x:v>4000000</x:v>
      </x:c>
      <x:c r="K181" s="659">
        <x:v>4000000</x:v>
      </x:c>
      <x:c r="L181" s="658">
        <x:v>30315000</x:v>
      </x:c>
      <x:c r="M181" s="651"/>
    </x:row>
    <x:row r="182" spans="1:13" s="689" customFormat="1" ht="21" customHeight="1">
      <x:c r="A182" s="835" t="s">
        <x:v>1688</x:v>
      </x:c>
      <x:c r="B182" s="709" t="s">
        <x:v>148</x:v>
      </x:c>
      <x:c r="C182" s="661">
        <x:f>D182+G182+J182+K182+L182</x:f>
        <x:v>1930000</x:v>
      </x:c>
      <x:c r="D182" s="660">
        <x:v>500000</x:v>
      </x:c>
      <x:c r="E182" s="659">
        <x:v>0</x:v>
      </x:c>
      <x:c r="F182" s="658">
        <x:v>500000</x:v>
      </x:c>
      <x:c r="G182" s="660">
        <x:v>300000</x:v>
      </x:c>
      <x:c r="H182" s="659">
        <x:v>0</x:v>
      </x:c>
      <x:c r="I182" s="658">
        <x:f>G182-H182</x:f>
        <x:v>300000</x:v>
      </x:c>
      <x:c r="J182" s="660">
        <x:v>200000</x:v>
      </x:c>
      <x:c r="K182" s="659">
        <x:v>200000</x:v>
      </x:c>
      <x:c r="L182" s="658">
        <x:f>30000+700000</x:f>
        <x:v>730000</x:v>
      </x:c>
      <x:c r="M182" s="651"/>
    </x:row>
    <x:row r="183" spans="1:13" s="689" customFormat="1" ht="21" customHeight="1">
      <x:c r="A183" s="834"/>
      <x:c r="B183" s="842" t="s">
        <x:v>646</x:v>
      </x:c>
      <x:c r="C183" s="661">
        <x:f>D183+G183+J183+K183+L183</x:f>
        <x:v>70000</x:v>
      </x:c>
      <x:c r="D183" s="660">
        <x:v>20000</x:v>
      </x:c>
      <x:c r="E183" s="837">
        <x:v>15894</x:v>
      </x:c>
      <x:c r="F183" s="658">
        <x:v>4106</x:v>
      </x:c>
      <x:c r="G183" s="836">
        <x:v>0</x:v>
      </x:c>
      <x:c r="H183" s="659">
        <x:v>0</x:v>
      </x:c>
      <x:c r="I183" s="658">
        <x:f>G183-H183</x:f>
        <x:v>0</x:v>
      </x:c>
      <x:c r="J183" s="660">
        <x:v>20000</x:v>
      </x:c>
      <x:c r="K183" s="659">
        <x:v>10000</x:v>
      </x:c>
      <x:c r="L183" s="658">
        <x:v>20000</x:v>
      </x:c>
      <x:c r="M183" s="833"/>
    </x:row>
    <x:row r="184" spans="1:13" s="689" customFormat="1" ht="21" customHeight="1">
      <x:c r="A184" s="832"/>
      <x:c r="B184" s="831" t="s">
        <x:v>456</x:v>
      </x:c>
      <x:c r="C184" s="807">
        <x:f t="shared" ref="C184:L184" si="38">C180-C176</x:f>
        <x:v>0</x:v>
      </x:c>
      <x:c r="D184" s="806">
        <x:f t="shared" si="38"/>
        <x:v>0</x:v>
      </x:c>
      <x:c r="E184" s="805">
        <x:f t="shared" si="38"/>
        <x:v>0</x:v>
      </x:c>
      <x:c r="F184" s="804">
        <x:f t="shared" si="38"/>
        <x:v>0</x:v>
      </x:c>
      <x:c r="G184" s="806">
        <x:f t="shared" si="38"/>
        <x:v>0</x:v>
      </x:c>
      <x:c r="H184" s="805">
        <x:f t="shared" si="38"/>
        <x:v>928882</x:v>
      </x:c>
      <x:c r="I184" s="804">
        <x:f t="shared" si="38"/>
        <x:v>-928882</x:v>
      </x:c>
      <x:c r="J184" s="806">
        <x:f t="shared" si="38"/>
        <x:v>-700000</x:v>
      </x:c>
      <x:c r="K184" s="805">
        <x:f t="shared" si="38"/>
        <x:v>0</x:v>
      </x:c>
      <x:c r="L184" s="804">
        <x:f t="shared" si="38"/>
        <x:v>700000</x:v>
      </x:c>
      <x:c r="M184" s="830" t="s">
        <x:v>1374</x:v>
      </x:c>
    </x:row>
    <x:row r="185" spans="1:13" s="689" customFormat="1" ht="21" customHeight="1">
      <x:c r="A185" s="841" t="s">
        <x:v>1409</x:v>
      </x:c>
      <x:c r="B185" s="840" t="s">
        <x:v>1295</x:v>
      </x:c>
      <x:c r="C185" s="788">
        <x:v>33842000</x:v>
      </x:c>
      <x:c r="D185" s="786">
        <x:v>650000</x:v>
      </x:c>
      <x:c r="E185" s="785">
        <x:v>402080</x:v>
      </x:c>
      <x:c r="F185" s="784">
        <x:v>247920</x:v>
      </x:c>
      <x:c r="G185" s="786">
        <x:v>0</x:v>
      </x:c>
      <x:c r="H185" s="785">
        <x:v>0</x:v>
      </x:c>
      <x:c r="I185" s="784">
        <x:v>0</x:v>
      </x:c>
      <x:c r="J185" s="786">
        <x:v>500000</x:v>
      </x:c>
      <x:c r="K185" s="785">
        <x:v>0</x:v>
      </x:c>
      <x:c r="L185" s="784">
        <x:v>32692000</x:v>
      </x:c>
      <x:c r="M185" s="839" t="s">
        <x:v>1668</x:v>
      </x:c>
    </x:row>
    <x:row r="186" spans="1:13" s="689" customFormat="1" ht="21" customHeight="1">
      <x:c r="A186" s="834" t="s">
        <x:v>1881</x:v>
      </x:c>
      <x:c r="B186" s="709" t="s">
        <x:v>117</x:v>
      </x:c>
      <x:c r="C186" s="676">
        <x:v>32425000</x:v>
      </x:c>
      <x:c r="D186" s="674">
        <x:v>640000</x:v>
      </x:c>
      <x:c r="E186" s="673">
        <x:v>399910</x:v>
      </x:c>
      <x:c r="F186" s="672">
        <x:v>240090</x:v>
      </x:c>
      <x:c r="G186" s="674">
        <x:v>0</x:v>
      </x:c>
      <x:c r="H186" s="673">
        <x:v>0</x:v>
      </x:c>
      <x:c r="I186" s="672">
        <x:v>0</x:v>
      </x:c>
      <x:c r="J186" s="674">
        <x:v>500000</x:v>
      </x:c>
      <x:c r="K186" s="673">
        <x:v>0</x:v>
      </x:c>
      <x:c r="L186" s="672">
        <x:v>31285000</x:v>
      </x:c>
      <x:c r="M186" s="833" t="s">
        <x:v>1720</x:v>
      </x:c>
    </x:row>
    <x:row r="187" spans="1:13" s="689" customFormat="1" ht="21" customHeight="1">
      <x:c r="A187" s="834" t="s">
        <x:v>1407</x:v>
      </x:c>
      <x:c r="B187" s="709" t="s">
        <x:v>148</x:v>
      </x:c>
      <x:c r="C187" s="661">
        <x:v>1374000</x:v>
      </x:c>
      <x:c r="D187" s="660">
        <x:v>0</x:v>
      </x:c>
      <x:c r="E187" s="659">
        <x:v>0</x:v>
      </x:c>
      <x:c r="F187" s="658">
        <x:v>0</x:v>
      </x:c>
      <x:c r="G187" s="660">
        <x:v>0</x:v>
      </x:c>
      <x:c r="H187" s="659">
        <x:v>0</x:v>
      </x:c>
      <x:c r="I187" s="658">
        <x:v>0</x:v>
      </x:c>
      <x:c r="J187" s="660">
        <x:v>0</x:v>
      </x:c>
      <x:c r="K187" s="659">
        <x:v>0</x:v>
      </x:c>
      <x:c r="L187" s="658">
        <x:v>1374000</x:v>
      </x:c>
      <x:c r="M187" s="858"/>
    </x:row>
    <x:row r="188" spans="1:13" s="689" customFormat="1" ht="21" customHeight="1">
      <x:c r="A188" s="834" t="s">
        <x:v>1872</x:v>
      </x:c>
      <x:c r="B188" s="838" t="s">
        <x:v>646</x:v>
      </x:c>
      <x:c r="C188" s="661">
        <x:v>43000</x:v>
      </x:c>
      <x:c r="D188" s="660">
        <x:v>10000</x:v>
      </x:c>
      <x:c r="E188" s="659">
        <x:v>2170</x:v>
      </x:c>
      <x:c r="F188" s="658">
        <x:v>7830</x:v>
      </x:c>
      <x:c r="G188" s="660">
        <x:v>0</x:v>
      </x:c>
      <x:c r="H188" s="659">
        <x:v>0</x:v>
      </x:c>
      <x:c r="I188" s="658">
        <x:v>0</x:v>
      </x:c>
      <x:c r="J188" s="660">
        <x:v>0</x:v>
      </x:c>
      <x:c r="K188" s="659">
        <x:v>0</x:v>
      </x:c>
      <x:c r="L188" s="658">
        <x:v>33000</x:v>
      </x:c>
      <x:c r="M188" s="833"/>
    </x:row>
    <x:row r="189" spans="1:13" s="689" customFormat="1" ht="21" customHeight="1">
      <x:c r="A189" s="834" t="s">
        <x:v>1873</x:v>
      </x:c>
      <x:c r="B189" s="669" t="s">
        <x:v>1294</x:v>
      </x:c>
      <x:c r="C189" s="668">
        <x:v>33842000</x:v>
      </x:c>
      <x:c r="D189" s="666">
        <x:v>650000</x:v>
      </x:c>
      <x:c r="E189" s="665">
        <x:v>402080</x:v>
      </x:c>
      <x:c r="F189" s="664">
        <x:v>247920</x:v>
      </x:c>
      <x:c r="G189" s="666">
        <x:v>0</x:v>
      </x:c>
      <x:c r="H189" s="665">
        <x:v>0</x:v>
      </x:c>
      <x:c r="I189" s="664">
        <x:v>0</x:v>
      </x:c>
      <x:c r="J189" s="666">
        <x:v>350000</x:v>
      </x:c>
      <x:c r="K189" s="665">
        <x:v>0</x:v>
      </x:c>
      <x:c r="L189" s="664">
        <x:v>32842000</x:v>
      </x:c>
      <x:c r="M189" s="833"/>
    </x:row>
    <x:row r="190" spans="1:13" s="689" customFormat="1" ht="21" customHeight="1">
      <x:c r="A190" s="834"/>
      <x:c r="B190" s="709" t="s">
        <x:v>117</x:v>
      </x:c>
      <x:c r="C190" s="661">
        <x:v>32425000</x:v>
      </x:c>
      <x:c r="D190" s="660">
        <x:v>640000</x:v>
      </x:c>
      <x:c r="E190" s="659">
        <x:v>399910</x:v>
      </x:c>
      <x:c r="F190" s="658">
        <x:v>240090</x:v>
      </x:c>
      <x:c r="G190" s="660">
        <x:v>0</x:v>
      </x:c>
      <x:c r="H190" s="659">
        <x:v>0</x:v>
      </x:c>
      <x:c r="I190" s="658">
        <x:v>0</x:v>
      </x:c>
      <x:c r="J190" s="660">
        <x:v>350000</x:v>
      </x:c>
      <x:c r="K190" s="659">
        <x:v>0</x:v>
      </x:c>
      <x:c r="L190" s="658">
        <x:v>31435000</x:v>
      </x:c>
      <x:c r="M190" s="651"/>
    </x:row>
    <x:row r="191" spans="1:13" s="689" customFormat="1" ht="21" customHeight="1">
      <x:c r="A191" s="835" t="s">
        <x:v>1688</x:v>
      </x:c>
      <x:c r="B191" s="709" t="s">
        <x:v>148</x:v>
      </x:c>
      <x:c r="C191" s="661">
        <x:v>1374000</x:v>
      </x:c>
      <x:c r="D191" s="660">
        <x:v>0</x:v>
      </x:c>
      <x:c r="E191" s="659">
        <x:v>0</x:v>
      </x:c>
      <x:c r="F191" s="658">
        <x:v>0</x:v>
      </x:c>
      <x:c r="G191" s="660">
        <x:v>0</x:v>
      </x:c>
      <x:c r="H191" s="659">
        <x:v>0</x:v>
      </x:c>
      <x:c r="I191" s="658">
        <x:v>0</x:v>
      </x:c>
      <x:c r="J191" s="660">
        <x:v>0</x:v>
      </x:c>
      <x:c r="K191" s="659">
        <x:v>0</x:v>
      </x:c>
      <x:c r="L191" s="658">
        <x:v>1374000</x:v>
      </x:c>
      <x:c r="M191" s="651"/>
    </x:row>
    <x:row r="192" spans="1:13" s="689" customFormat="1" ht="21" customHeight="1">
      <x:c r="A192" s="834"/>
      <x:c r="B192" s="842" t="s">
        <x:v>646</x:v>
      </x:c>
      <x:c r="C192" s="661">
        <x:v>43000</x:v>
      </x:c>
      <x:c r="D192" s="660">
        <x:v>10000</x:v>
      </x:c>
      <x:c r="E192" s="837">
        <x:v>2170</x:v>
      </x:c>
      <x:c r="F192" s="658">
        <x:v>7830</x:v>
      </x:c>
      <x:c r="G192" s="836">
        <x:v>0</x:v>
      </x:c>
      <x:c r="H192" s="659">
        <x:v>0</x:v>
      </x:c>
      <x:c r="I192" s="658">
        <x:v>0</x:v>
      </x:c>
      <x:c r="J192" s="660">
        <x:v>0</x:v>
      </x:c>
      <x:c r="K192" s="659">
        <x:v>0</x:v>
      </x:c>
      <x:c r="L192" s="658">
        <x:v>33000</x:v>
      </x:c>
      <x:c r="M192" s="833"/>
    </x:row>
    <x:row r="193" spans="1:13" s="689" customFormat="1" ht="21" customHeight="1">
      <x:c r="A193" s="832"/>
      <x:c r="B193" s="831" t="s">
        <x:v>456</x:v>
      </x:c>
      <x:c r="C193" s="807">
        <x:v>0</x:v>
      </x:c>
      <x:c r="D193" s="806">
        <x:v>0</x:v>
      </x:c>
      <x:c r="E193" s="805">
        <x:v>0</x:v>
      </x:c>
      <x:c r="F193" s="804">
        <x:v>0</x:v>
      </x:c>
      <x:c r="G193" s="806">
        <x:v>0</x:v>
      </x:c>
      <x:c r="H193" s="805">
        <x:v>0</x:v>
      </x:c>
      <x:c r="I193" s="804">
        <x:v>0</x:v>
      </x:c>
      <x:c r="J193" s="806" t="s">
        <x:v>469</x:v>
      </x:c>
      <x:c r="K193" s="805">
        <x:v>0</x:v>
      </x:c>
      <x:c r="L193" s="804">
        <x:v>150000</x:v>
      </x:c>
      <x:c r="M193" s="830" t="s">
        <x:v>1851</x:v>
      </x:c>
    </x:row>
    <x:row r="194" spans="1:13" s="689" customFormat="1" ht="21" customHeight="1">
      <x:c r="A194" s="841" t="s">
        <x:v>1397</x:v>
      </x:c>
      <x:c r="B194" s="840" t="s">
        <x:v>1295</x:v>
      </x:c>
      <x:c r="C194" s="788">
        <x:v>13489000</x:v>
      </x:c>
      <x:c r="D194" s="786">
        <x:v>4600000</x:v>
      </x:c>
      <x:c r="E194" s="785">
        <x:v>2057020</x:v>
      </x:c>
      <x:c r="F194" s="784">
        <x:v>2542980</x:v>
      </x:c>
      <x:c r="G194" s="786">
        <x:v>100000</x:v>
      </x:c>
      <x:c r="H194" s="785">
        <x:v>11180</x:v>
      </x:c>
      <x:c r="I194" s="784">
        <x:v>88820</x:v>
      </x:c>
      <x:c r="J194" s="786">
        <x:v>4295000</x:v>
      </x:c>
      <x:c r="K194" s="785">
        <x:v>2000000</x:v>
      </x:c>
      <x:c r="L194" s="784">
        <x:v>2494000</x:v>
      </x:c>
      <x:c r="M194" s="839" t="s">
        <x:v>1668</x:v>
      </x:c>
    </x:row>
    <x:row r="195" spans="1:13" s="689" customFormat="1" ht="21" customHeight="1">
      <x:c r="A195" s="834" t="s">
        <x:v>1837</x:v>
      </x:c>
      <x:c r="B195" s="709" t="s">
        <x:v>117</x:v>
      </x:c>
      <x:c r="C195" s="676">
        <x:v>13484000</x:v>
      </x:c>
      <x:c r="D195" s="674">
        <x:v>4595000</x:v>
      </x:c>
      <x:c r="E195" s="659">
        <x:v>2053720</x:v>
      </x:c>
      <x:c r="F195" s="672">
        <x:v>2541280</x:v>
      </x:c>
      <x:c r="G195" s="674">
        <x:v>100000</x:v>
      </x:c>
      <x:c r="H195" s="673">
        <x:v>11180</x:v>
      </x:c>
      <x:c r="I195" s="672">
        <x:v>88820</x:v>
      </x:c>
      <x:c r="J195" s="660">
        <x:v>4295000</x:v>
      </x:c>
      <x:c r="K195" s="659">
        <x:v>2000000</x:v>
      </x:c>
      <x:c r="L195" s="658">
        <x:v>2494000</x:v>
      </x:c>
      <x:c r="M195" s="833" t="s">
        <x:v>1720</x:v>
      </x:c>
    </x:row>
    <x:row r="196" spans="1:13" s="689" customFormat="1" ht="21" customHeight="1">
      <x:c r="A196" s="834" t="s">
        <x:v>1747</x:v>
      </x:c>
      <x:c r="B196" s="709" t="s">
        <x:v>148</x:v>
      </x:c>
      <x:c r="C196" s="661">
        <x:v>0</x:v>
      </x:c>
      <x:c r="D196" s="660">
        <x:v>0</x:v>
      </x:c>
      <x:c r="E196" s="659">
        <x:v>0</x:v>
      </x:c>
      <x:c r="F196" s="658">
        <x:v>0</x:v>
      </x:c>
      <x:c r="G196" s="660">
        <x:v>0</x:v>
      </x:c>
      <x:c r="H196" s="659">
        <x:v>0</x:v>
      </x:c>
      <x:c r="I196" s="658">
        <x:v>0</x:v>
      </x:c>
      <x:c r="J196" s="660">
        <x:v>0</x:v>
      </x:c>
      <x:c r="K196" s="659">
        <x:v>0</x:v>
      </x:c>
      <x:c r="L196" s="658">
        <x:v>0</x:v>
      </x:c>
      <x:c r="M196" s="833"/>
    </x:row>
    <x:row r="197" spans="1:13" s="689" customFormat="1" ht="21" customHeight="1">
      <x:c r="A197" s="834" t="s">
        <x:v>1746</x:v>
      </x:c>
      <x:c r="B197" s="838" t="s">
        <x:v>646</x:v>
      </x:c>
      <x:c r="C197" s="661">
        <x:v>5000</x:v>
      </x:c>
      <x:c r="D197" s="836">
        <x:v>5000</x:v>
      </x:c>
      <x:c r="E197" s="837">
        <x:v>3300</x:v>
      </x:c>
      <x:c r="F197" s="843">
        <x:v>1700</x:v>
      </x:c>
      <x:c r="G197" s="836">
        <x:v>0</x:v>
      </x:c>
      <x:c r="H197" s="837">
        <x:v>0</x:v>
      </x:c>
      <x:c r="I197" s="843">
        <x:v>0</x:v>
      </x:c>
      <x:c r="J197" s="660">
        <x:v>0</x:v>
      </x:c>
      <x:c r="K197" s="659">
        <x:v>0</x:v>
      </x:c>
      <x:c r="L197" s="658">
        <x:v>0</x:v>
      </x:c>
      <x:c r="M197" s="833"/>
    </x:row>
    <x:row r="198" spans="1:13" s="689" customFormat="1" ht="21" customHeight="1">
      <x:c r="A198" s="834" t="s">
        <x:v>1861</x:v>
      </x:c>
      <x:c r="B198" s="669" t="s">
        <x:v>1294</x:v>
      </x:c>
      <x:c r="C198" s="668">
        <x:f>D198+G198+J198+K198+L198</x:f>
        <x:v>13489000</x:v>
      </x:c>
      <x:c r="D198" s="666">
        <x:f t="shared" ref="D198:L198" si="39">D199+D200+D201</x:f>
        <x:v>4600000</x:v>
      </x:c>
      <x:c r="E198" s="665">
        <x:f t="shared" si="39"/>
        <x:v>2057020</x:v>
      </x:c>
      <x:c r="F198" s="664">
        <x:f t="shared" si="39"/>
        <x:v>2542980</x:v>
      </x:c>
      <x:c r="G198" s="666">
        <x:f t="shared" si="39"/>
        <x:v>100000</x:v>
      </x:c>
      <x:c r="H198" s="665">
        <x:f t="shared" si="39"/>
        <x:v>11180</x:v>
      </x:c>
      <x:c r="I198" s="664">
        <x:f t="shared" si="39"/>
        <x:v>88820</x:v>
      </x:c>
      <x:c r="J198" s="666">
        <x:f t="shared" si="39"/>
        <x:v>3295000</x:v>
      </x:c>
      <x:c r="K198" s="665">
        <x:f t="shared" si="39"/>
        <x:v>2000000</x:v>
      </x:c>
      <x:c r="L198" s="664">
        <x:f t="shared" si="39"/>
        <x:v>3494000</x:v>
      </x:c>
      <x:c r="M198" s="833"/>
    </x:row>
    <x:row r="199" spans="1:13" s="689" customFormat="1" ht="21" customHeight="1">
      <x:c r="A199" s="834"/>
      <x:c r="B199" s="709" t="s">
        <x:v>117</x:v>
      </x:c>
      <x:c r="C199" s="661">
        <x:f>D199+G199+J199+K199+L199</x:f>
        <x:v>13484000</x:v>
      </x:c>
      <x:c r="D199" s="660">
        <x:v>4595000</x:v>
      </x:c>
      <x:c r="E199" s="659">
        <x:v>2053720</x:v>
      </x:c>
      <x:c r="F199" s="658">
        <x:v>2541280</x:v>
      </x:c>
      <x:c r="G199" s="660">
        <x:v>100000</x:v>
      </x:c>
      <x:c r="H199" s="659">
        <x:v>11180</x:v>
      </x:c>
      <x:c r="I199" s="658">
        <x:f>G199-H199</x:f>
        <x:v>88820</x:v>
      </x:c>
      <x:c r="J199" s="660">
        <x:v>3295000</x:v>
      </x:c>
      <x:c r="K199" s="659">
        <x:v>2000000</x:v>
      </x:c>
      <x:c r="L199" s="658">
        <x:f>2494000+1000000</x:f>
        <x:v>3494000</x:v>
      </x:c>
      <x:c r="M199" s="651"/>
    </x:row>
    <x:row r="200" spans="1:13" s="689" customFormat="1" ht="21" customHeight="1">
      <x:c r="A200" s="835" t="s">
        <x:v>1688</x:v>
      </x:c>
      <x:c r="B200" s="709" t="s">
        <x:v>148</x:v>
      </x:c>
      <x:c r="C200" s="661">
        <x:f>D200+G200+J200+K200+L200</x:f>
        <x:v>0</x:v>
      </x:c>
      <x:c r="D200" s="660">
        <x:v>0</x:v>
      </x:c>
      <x:c r="E200" s="659">
        <x:v>0</x:v>
      </x:c>
      <x:c r="F200" s="658">
        <x:v>0</x:v>
      </x:c>
      <x:c r="G200" s="660">
        <x:v>0</x:v>
      </x:c>
      <x:c r="H200" s="659">
        <x:v>0</x:v>
      </x:c>
      <x:c r="I200" s="658">
        <x:f>G200-H200</x:f>
        <x:v>0</x:v>
      </x:c>
      <x:c r="J200" s="660">
        <x:v>0</x:v>
      </x:c>
      <x:c r="K200" s="659">
        <x:v>0</x:v>
      </x:c>
      <x:c r="L200" s="658">
        <x:v>0</x:v>
      </x:c>
      <x:c r="M200" s="651"/>
    </x:row>
    <x:row r="201" spans="1:13" s="689" customFormat="1" ht="21" customHeight="1">
      <x:c r="A201" s="834"/>
      <x:c r="B201" s="842" t="s">
        <x:v>646</x:v>
      </x:c>
      <x:c r="C201" s="661">
        <x:f>D201+G201+J201+K201+L201</x:f>
        <x:v>5000</x:v>
      </x:c>
      <x:c r="D201" s="660">
        <x:v>5000</x:v>
      </x:c>
      <x:c r="E201" s="837">
        <x:v>3300</x:v>
      </x:c>
      <x:c r="F201" s="658">
        <x:v>1700</x:v>
      </x:c>
      <x:c r="G201" s="836">
        <x:v>0</x:v>
      </x:c>
      <x:c r="H201" s="659">
        <x:v>0</x:v>
      </x:c>
      <x:c r="I201" s="658">
        <x:f>G201-H201</x:f>
        <x:v>0</x:v>
      </x:c>
      <x:c r="J201" s="660">
        <x:v>0</x:v>
      </x:c>
      <x:c r="K201" s="659">
        <x:v>0</x:v>
      </x:c>
      <x:c r="L201" s="658">
        <x:v>0</x:v>
      </x:c>
      <x:c r="M201" s="833"/>
    </x:row>
    <x:row r="202" spans="1:13" s="689" customFormat="1" ht="21" customHeight="1">
      <x:c r="A202" s="832"/>
      <x:c r="B202" s="831" t="s">
        <x:v>456</x:v>
      </x:c>
      <x:c r="C202" s="807">
        <x:f t="shared" ref="C202:L202" si="40">C198-C194</x:f>
        <x:v>0</x:v>
      </x:c>
      <x:c r="D202" s="806">
        <x:f t="shared" si="40"/>
        <x:v>0</x:v>
      </x:c>
      <x:c r="E202" s="805">
        <x:f t="shared" si="40"/>
        <x:v>0</x:v>
      </x:c>
      <x:c r="F202" s="804">
        <x:f t="shared" si="40"/>
        <x:v>0</x:v>
      </x:c>
      <x:c r="G202" s="806">
        <x:f t="shared" si="40"/>
        <x:v>0</x:v>
      </x:c>
      <x:c r="H202" s="805">
        <x:f t="shared" si="40"/>
        <x:v>0</x:v>
      </x:c>
      <x:c r="I202" s="804">
        <x:f t="shared" si="40"/>
        <x:v>0</x:v>
      </x:c>
      <x:c r="J202" s="806">
        <x:f t="shared" si="40"/>
        <x:v>-1000000</x:v>
      </x:c>
      <x:c r="K202" s="805">
        <x:f t="shared" si="40"/>
        <x:v>0</x:v>
      </x:c>
      <x:c r="L202" s="804">
        <x:f t="shared" si="40"/>
        <x:v>1000000</x:v>
      </x:c>
      <x:c r="M202" s="830" t="s">
        <x:v>1374</x:v>
      </x:c>
    </x:row>
    <x:row r="203" spans="1:13" s="689" customFormat="1" ht="21" customHeight="1">
      <x:c r="A203" s="857" t="s">
        <x:v>1401</x:v>
      </x:c>
      <x:c r="B203" s="856" t="s">
        <x:v>1295</x:v>
      </x:c>
      <x:c r="C203" s="855">
        <x:v>32682000</x:v>
      </x:c>
      <x:c r="D203" s="854">
        <x:v>1000000</x:v>
      </x:c>
      <x:c r="E203" s="853">
        <x:v>611124</x:v>
      </x:c>
      <x:c r="F203" s="852">
        <x:v>388876</x:v>
      </x:c>
      <x:c r="G203" s="854">
        <x:v>0</x:v>
      </x:c>
      <x:c r="H203" s="853">
        <x:v>0</x:v>
      </x:c>
      <x:c r="I203" s="852">
        <x:v>0</x:v>
      </x:c>
      <x:c r="J203" s="854">
        <x:v>7005000</x:v>
      </x:c>
      <x:c r="K203" s="853">
        <x:v>5510000</x:v>
      </x:c>
      <x:c r="L203" s="852">
        <x:v>19167000</x:v>
      </x:c>
      <x:c r="M203" s="851" t="s">
        <x:v>1668</x:v>
      </x:c>
    </x:row>
    <x:row r="204" spans="1:13" s="689" customFormat="1" ht="21" customHeight="1">
      <x:c r="A204" s="834" t="s">
        <x:v>1859</x:v>
      </x:c>
      <x:c r="B204" s="709" t="s">
        <x:v>117</x:v>
      </x:c>
      <x:c r="C204" s="676">
        <x:v>30033000</x:v>
      </x:c>
      <x:c r="D204" s="674">
        <x:v>990000</x:v>
      </x:c>
      <x:c r="E204" s="659">
        <x:v>605614</x:v>
      </x:c>
      <x:c r="F204" s="672">
        <x:v>384386</x:v>
      </x:c>
      <x:c r="G204" s="674">
        <x:v>0</x:v>
      </x:c>
      <x:c r="H204" s="673">
        <x:v>0</x:v>
      </x:c>
      <x:c r="I204" s="672">
        <x:v>0</x:v>
      </x:c>
      <x:c r="J204" s="660">
        <x:v>7000000</x:v>
      </x:c>
      <x:c r="K204" s="659">
        <x:v>5000000</x:v>
      </x:c>
      <x:c r="L204" s="658">
        <x:v>17043000</x:v>
      </x:c>
      <x:c r="M204" s="833" t="s">
        <x:v>1720</x:v>
      </x:c>
    </x:row>
    <x:row r="205" spans="1:13" s="689" customFormat="1" ht="21" customHeight="1">
      <x:c r="A205" s="834" t="s">
        <x:v>1858</x:v>
      </x:c>
      <x:c r="B205" s="709" t="s">
        <x:v>148</x:v>
      </x:c>
      <x:c r="C205" s="661">
        <x:v>1332000</x:v>
      </x:c>
      <x:c r="D205" s="660">
        <x:v>0</x:v>
      </x:c>
      <x:c r="E205" s="659">
        <x:v>0</x:v>
      </x:c>
      <x:c r="F205" s="658">
        <x:v>0</x:v>
      </x:c>
      <x:c r="G205" s="660">
        <x:v>0</x:v>
      </x:c>
      <x:c r="H205" s="659">
        <x:v>0</x:v>
      </x:c>
      <x:c r="I205" s="658">
        <x:v>0</x:v>
      </x:c>
      <x:c r="J205" s="660"/>
      <x:c r="K205" s="659">
        <x:v>500000</x:v>
      </x:c>
      <x:c r="L205" s="658">
        <x:v>832000</x:v>
      </x:c>
      <x:c r="M205" s="833"/>
    </x:row>
    <x:row r="206" spans="1:13" s="689" customFormat="1" ht="21" customHeight="1">
      <x:c r="A206" s="834" t="s">
        <x:v>1733</x:v>
      </x:c>
      <x:c r="B206" s="838" t="s">
        <x:v>646</x:v>
      </x:c>
      <x:c r="C206" s="661">
        <x:v>1317000</x:v>
      </x:c>
      <x:c r="D206" s="836">
        <x:v>10000</x:v>
      </x:c>
      <x:c r="E206" s="837">
        <x:v>5510</x:v>
      </x:c>
      <x:c r="F206" s="843">
        <x:v>4490</x:v>
      </x:c>
      <x:c r="G206" s="836">
        <x:v>0</x:v>
      </x:c>
      <x:c r="H206" s="837">
        <x:v>0</x:v>
      </x:c>
      <x:c r="I206" s="843">
        <x:v>0</x:v>
      </x:c>
      <x:c r="J206" s="660">
        <x:v>5000</x:v>
      </x:c>
      <x:c r="K206" s="659">
        <x:v>10000</x:v>
      </x:c>
      <x:c r="L206" s="658">
        <x:v>1292000</x:v>
      </x:c>
      <x:c r="M206" s="833"/>
    </x:row>
    <x:row r="207" spans="1:13" s="689" customFormat="1" ht="21" customHeight="1">
      <x:c r="A207" s="834" t="s">
        <x:v>1857</x:v>
      </x:c>
      <x:c r="B207" s="669" t="s">
        <x:v>1294</x:v>
      </x:c>
      <x:c r="C207" s="668">
        <x:f>D207+G207+J207+K207+L207</x:f>
        <x:v>32682000</x:v>
      </x:c>
      <x:c r="D207" s="666">
        <x:f t="shared" ref="D207:L207" si="41">D208+D209+D210</x:f>
        <x:v>1000000</x:v>
      </x:c>
      <x:c r="E207" s="665">
        <x:f t="shared" si="41"/>
        <x:v>611124</x:v>
      </x:c>
      <x:c r="F207" s="664">
        <x:f t="shared" si="41"/>
        <x:v>388876</x:v>
      </x:c>
      <x:c r="G207" s="666">
        <x:f t="shared" si="41"/>
        <x:v>0</x:v>
      </x:c>
      <x:c r="H207" s="665">
        <x:f t="shared" si="41"/>
        <x:v>0</x:v>
      </x:c>
      <x:c r="I207" s="664">
        <x:f t="shared" si="41"/>
        <x:v>0</x:v>
      </x:c>
      <x:c r="J207" s="666">
        <x:f t="shared" si="41"/>
        <x:v>505000</x:v>
      </x:c>
      <x:c r="K207" s="665">
        <x:f t="shared" si="41"/>
        <x:v>5510000</x:v>
      </x:c>
      <x:c r="L207" s="664">
        <x:f t="shared" si="41"/>
        <x:v>25667000</x:v>
      </x:c>
      <x:c r="M207" s="833"/>
    </x:row>
    <x:row r="208" spans="1:13" s="689" customFormat="1" ht="21" customHeight="1">
      <x:c r="A208" s="834"/>
      <x:c r="B208" s="709" t="s">
        <x:v>117</x:v>
      </x:c>
      <x:c r="C208" s="661">
        <x:f>D208+G208+J208+K208+L208</x:f>
        <x:v>30033000</x:v>
      </x:c>
      <x:c r="D208" s="660">
        <x:v>990000</x:v>
      </x:c>
      <x:c r="E208" s="659">
        <x:v>605614</x:v>
      </x:c>
      <x:c r="F208" s="658">
        <x:v>384386</x:v>
      </x:c>
      <x:c r="G208" s="660">
        <x:v>0</x:v>
      </x:c>
      <x:c r="H208" s="659">
        <x:v>0</x:v>
      </x:c>
      <x:c r="I208" s="658">
        <x:f>G208-H208</x:f>
        <x:v>0</x:v>
      </x:c>
      <x:c r="J208" s="660">
        <x:v>500000</x:v>
      </x:c>
      <x:c r="K208" s="659">
        <x:v>5000000</x:v>
      </x:c>
      <x:c r="L208" s="658">
        <x:f>17043000+6500000</x:f>
        <x:v>23543000</x:v>
      </x:c>
      <x:c r="M208" s="651"/>
    </x:row>
    <x:row r="209" spans="1:13" s="689" customFormat="1" ht="21" customHeight="1">
      <x:c r="A209" s="835" t="s">
        <x:v>1688</x:v>
      </x:c>
      <x:c r="B209" s="709" t="s">
        <x:v>148</x:v>
      </x:c>
      <x:c r="C209" s="661">
        <x:f>D209+G209+J209+K209+L209</x:f>
        <x:v>1332000</x:v>
      </x:c>
      <x:c r="D209" s="660">
        <x:v>0</x:v>
      </x:c>
      <x:c r="E209" s="659">
        <x:v>0</x:v>
      </x:c>
      <x:c r="F209" s="658">
        <x:v>0</x:v>
      </x:c>
      <x:c r="G209" s="660">
        <x:v>0</x:v>
      </x:c>
      <x:c r="H209" s="659">
        <x:v>0</x:v>
      </x:c>
      <x:c r="I209" s="658">
        <x:f>G209-H209</x:f>
        <x:v>0</x:v>
      </x:c>
      <x:c r="J209" s="660">
        <x:v>0</x:v>
      </x:c>
      <x:c r="K209" s="659">
        <x:v>500000</x:v>
      </x:c>
      <x:c r="L209" s="658">
        <x:v>832000</x:v>
      </x:c>
      <x:c r="M209" s="651"/>
    </x:row>
    <x:row r="210" spans="1:13" s="689" customFormat="1" ht="21" customHeight="1">
      <x:c r="A210" s="834"/>
      <x:c r="B210" s="842" t="s">
        <x:v>646</x:v>
      </x:c>
      <x:c r="C210" s="661">
        <x:f>D210+G210+J210+K210+L210</x:f>
        <x:v>1317000</x:v>
      </x:c>
      <x:c r="D210" s="660">
        <x:v>10000</x:v>
      </x:c>
      <x:c r="E210" s="837">
        <x:v>5510</x:v>
      </x:c>
      <x:c r="F210" s="658">
        <x:v>4490</x:v>
      </x:c>
      <x:c r="G210" s="836">
        <x:v>0</x:v>
      </x:c>
      <x:c r="H210" s="659">
        <x:v>0</x:v>
      </x:c>
      <x:c r="I210" s="658">
        <x:f>G210-H210</x:f>
        <x:v>0</x:v>
      </x:c>
      <x:c r="J210" s="660">
        <x:v>5000</x:v>
      </x:c>
      <x:c r="K210" s="659">
        <x:v>10000</x:v>
      </x:c>
      <x:c r="L210" s="658">
        <x:v>1292000</x:v>
      </x:c>
      <x:c r="M210" s="833"/>
    </x:row>
    <x:row r="211" spans="1:13" s="689" customFormat="1" ht="21" customHeight="1">
      <x:c r="A211" s="834"/>
      <x:c r="B211" s="850" t="s">
        <x:v>456</x:v>
      </x:c>
      <x:c r="C211" s="849">
        <x:f t="shared" ref="C211:L211" si="42">C207-C203</x:f>
        <x:v>0</x:v>
      </x:c>
      <x:c r="D211" s="848">
        <x:f t="shared" si="42"/>
        <x:v>0</x:v>
      </x:c>
      <x:c r="E211" s="847">
        <x:f t="shared" si="42"/>
        <x:v>0</x:v>
      </x:c>
      <x:c r="F211" s="846">
        <x:f t="shared" si="42"/>
        <x:v>0</x:v>
      </x:c>
      <x:c r="G211" s="848">
        <x:f t="shared" si="42"/>
        <x:v>0</x:v>
      </x:c>
      <x:c r="H211" s="847">
        <x:f t="shared" si="42"/>
        <x:v>0</x:v>
      </x:c>
      <x:c r="I211" s="846">
        <x:f t="shared" si="42"/>
        <x:v>0</x:v>
      </x:c>
      <x:c r="J211" s="848">
        <x:f t="shared" si="42"/>
        <x:v>-6500000</x:v>
      </x:c>
      <x:c r="K211" s="847">
        <x:f t="shared" si="42"/>
        <x:v>0</x:v>
      </x:c>
      <x:c r="L211" s="846">
        <x:f t="shared" si="42"/>
        <x:v>6500000</x:v>
      </x:c>
      <x:c r="M211" s="845" t="s">
        <x:v>1374</x:v>
      </x:c>
    </x:row>
    <x:row r="212" spans="1:13" s="689" customFormat="1" ht="21" customHeight="1">
      <x:c r="A212" s="841" t="s">
        <x:v>1422</x:v>
      </x:c>
      <x:c r="B212" s="840" t="s">
        <x:v>1295</x:v>
      </x:c>
      <x:c r="C212" s="788">
        <x:v>60611000</x:v>
      </x:c>
      <x:c r="D212" s="786">
        <x:v>145000</x:v>
      </x:c>
      <x:c r="E212" s="785">
        <x:v>46230</x:v>
      </x:c>
      <x:c r="F212" s="784">
        <x:v>98770</x:v>
      </x:c>
      <x:c r="G212" s="786">
        <x:v>0</x:v>
      </x:c>
      <x:c r="H212" s="785">
        <x:v>0</x:v>
      </x:c>
      <x:c r="I212" s="784">
        <x:v>0</x:v>
      </x:c>
      <x:c r="J212" s="786">
        <x:v>1505000</x:v>
      </x:c>
      <x:c r="K212" s="785">
        <x:v>0</x:v>
      </x:c>
      <x:c r="L212" s="784">
        <x:v>58916000</x:v>
      </x:c>
      <x:c r="M212" s="839" t="s">
        <x:v>1668</x:v>
      </x:c>
    </x:row>
    <x:row r="213" spans="1:13" s="689" customFormat="1" ht="21" customHeight="1">
      <x:c r="A213" s="834" t="s">
        <x:v>1731</x:v>
      </x:c>
      <x:c r="B213" s="709" t="s">
        <x:v>117</x:v>
      </x:c>
      <x:c r="C213" s="676">
        <x:v>58201000</x:v>
      </x:c>
      <x:c r="D213" s="674">
        <x:v>95000</x:v>
      </x:c>
      <x:c r="E213" s="659">
        <x:v>0</x:v>
      </x:c>
      <x:c r="F213" s="672">
        <x:v>95000</x:v>
      </x:c>
      <x:c r="G213" s="674">
        <x:v>0</x:v>
      </x:c>
      <x:c r="H213" s="673">
        <x:v>0</x:v>
      </x:c>
      <x:c r="I213" s="672">
        <x:v>0</x:v>
      </x:c>
      <x:c r="J213" s="660">
        <x:v>1500000</x:v>
      </x:c>
      <x:c r="K213" s="659">
        <x:v>0</x:v>
      </x:c>
      <x:c r="L213" s="658">
        <x:v>56606000</x:v>
      </x:c>
      <x:c r="M213" s="833" t="s">
        <x:v>1720</x:v>
      </x:c>
    </x:row>
    <x:row r="214" spans="1:13" s="689" customFormat="1" ht="21" customHeight="1">
      <x:c r="A214" s="834" t="s">
        <x:v>1740</x:v>
      </x:c>
      <x:c r="B214" s="709" t="s">
        <x:v>148</x:v>
      </x:c>
      <x:c r="C214" s="661">
        <x:v>2320000</x:v>
      </x:c>
      <x:c r="D214" s="660">
        <x:v>0</x:v>
      </x:c>
      <x:c r="E214" s="659">
        <x:v>0</x:v>
      </x:c>
      <x:c r="F214" s="658">
        <x:v>0</x:v>
      </x:c>
      <x:c r="G214" s="660">
        <x:v>0</x:v>
      </x:c>
      <x:c r="H214" s="659">
        <x:v>0</x:v>
      </x:c>
      <x:c r="I214" s="658">
        <x:v>0</x:v>
      </x:c>
      <x:c r="J214" s="660">
        <x:v>0</x:v>
      </x:c>
      <x:c r="K214" s="659">
        <x:v>0</x:v>
      </x:c>
      <x:c r="L214" s="658">
        <x:v>2320000</x:v>
      </x:c>
      <x:c r="M214" s="833"/>
    </x:row>
    <x:row r="215" spans="1:13" s="689" customFormat="1" ht="21" customHeight="1">
      <x:c r="A215" s="834" t="s">
        <x:v>1732</x:v>
      </x:c>
      <x:c r="B215" s="838" t="s">
        <x:v>646</x:v>
      </x:c>
      <x:c r="C215" s="844">
        <x:v>90000</x:v>
      </x:c>
      <x:c r="D215" s="836">
        <x:v>50000</x:v>
      </x:c>
      <x:c r="E215" s="659">
        <x:v>46230</x:v>
      </x:c>
      <x:c r="F215" s="843">
        <x:v>3770</x:v>
      </x:c>
      <x:c r="G215" s="836">
        <x:v>0</x:v>
      </x:c>
      <x:c r="H215" s="837">
        <x:v>0</x:v>
      </x:c>
      <x:c r="I215" s="843">
        <x:v>0</x:v>
      </x:c>
      <x:c r="J215" s="660">
        <x:v>5000</x:v>
      </x:c>
      <x:c r="K215" s="659">
        <x:v>0</x:v>
      </x:c>
      <x:c r="L215" s="658">
        <x:v>-10000</x:v>
      </x:c>
      <x:c r="M215" s="833"/>
    </x:row>
    <x:row r="216" spans="1:13" s="689" customFormat="1" ht="21" customHeight="1">
      <x:c r="A216" s="834" t="s">
        <x:v>1819</x:v>
      </x:c>
      <x:c r="B216" s="669" t="s">
        <x:v>1294</x:v>
      </x:c>
      <x:c r="C216" s="668">
        <x:f>D216+G216+J216+K216+L216</x:f>
        <x:v>60566000</x:v>
      </x:c>
      <x:c r="D216" s="666">
        <x:f t="shared" ref="D216:L216" si="43">D217+D218+D219</x:f>
        <x:v>145000</x:v>
      </x:c>
      <x:c r="E216" s="665">
        <x:f t="shared" si="43"/>
        <x:v>46230</x:v>
      </x:c>
      <x:c r="F216" s="664">
        <x:f t="shared" si="43"/>
        <x:v>98770</x:v>
      </x:c>
      <x:c r="G216" s="666">
        <x:f t="shared" si="43"/>
        <x:v>0</x:v>
      </x:c>
      <x:c r="H216" s="665">
        <x:f t="shared" si="43"/>
        <x:v>0</x:v>
      </x:c>
      <x:c r="I216" s="664">
        <x:f t="shared" si="43"/>
        <x:v>0</x:v>
      </x:c>
      <x:c r="J216" s="666">
        <x:f t="shared" si="43"/>
        <x:v>505000</x:v>
      </x:c>
      <x:c r="K216" s="665">
        <x:f t="shared" si="43"/>
        <x:v>0</x:v>
      </x:c>
      <x:c r="L216" s="664">
        <x:f t="shared" si="43"/>
        <x:v>59916000</x:v>
      </x:c>
      <x:c r="M216" s="833"/>
    </x:row>
    <x:row r="217" spans="1:13" s="689" customFormat="1" ht="21" customHeight="1">
      <x:c r="A217" s="834"/>
      <x:c r="B217" s="709" t="s">
        <x:v>117</x:v>
      </x:c>
      <x:c r="C217" s="661">
        <x:f>D217+G217+J217+K217+L217</x:f>
        <x:v>58201000</x:v>
      </x:c>
      <x:c r="D217" s="660">
        <x:v>95000</x:v>
      </x:c>
      <x:c r="E217" s="659">
        <x:v>0</x:v>
      </x:c>
      <x:c r="F217" s="658">
        <x:v>95000</x:v>
      </x:c>
      <x:c r="G217" s="660">
        <x:v>0</x:v>
      </x:c>
      <x:c r="H217" s="659">
        <x:v>0</x:v>
      </x:c>
      <x:c r="I217" s="658">
        <x:f>G217-H217</x:f>
        <x:v>0</x:v>
      </x:c>
      <x:c r="J217" s="660">
        <x:v>500000</x:v>
      </x:c>
      <x:c r="K217" s="659">
        <x:v>0</x:v>
      </x:c>
      <x:c r="L217" s="658">
        <x:f>56606000+1000000</x:f>
        <x:v>57606000</x:v>
      </x:c>
      <x:c r="M217" s="651"/>
    </x:row>
    <x:row r="218" spans="1:13" s="689" customFormat="1" ht="21" customHeight="1">
      <x:c r="A218" s="835" t="s">
        <x:v>454</x:v>
      </x:c>
      <x:c r="B218" s="709" t="s">
        <x:v>148</x:v>
      </x:c>
      <x:c r="C218" s="661">
        <x:f>D218+G218+J218+K218+L218</x:f>
        <x:v>2320000</x:v>
      </x:c>
      <x:c r="D218" s="660">
        <x:v>0</x:v>
      </x:c>
      <x:c r="E218" s="659">
        <x:v>0</x:v>
      </x:c>
      <x:c r="F218" s="658">
        <x:v>0</x:v>
      </x:c>
      <x:c r="G218" s="660">
        <x:v>0</x:v>
      </x:c>
      <x:c r="H218" s="659">
        <x:v>0</x:v>
      </x:c>
      <x:c r="I218" s="658">
        <x:f>G218-H218</x:f>
        <x:v>0</x:v>
      </x:c>
      <x:c r="J218" s="660">
        <x:v>0</x:v>
      </x:c>
      <x:c r="K218" s="659">
        <x:v>0</x:v>
      </x:c>
      <x:c r="L218" s="658">
        <x:v>2320000</x:v>
      </x:c>
      <x:c r="M218" s="651"/>
    </x:row>
    <x:row r="219" spans="1:13" s="689" customFormat="1" ht="21" customHeight="1">
      <x:c r="A219" s="834"/>
      <x:c r="B219" s="842" t="s">
        <x:v>646</x:v>
      </x:c>
      <x:c r="C219" s="661">
        <x:f>D219+G219+J219+K219+L219</x:f>
        <x:v>45000</x:v>
      </x:c>
      <x:c r="D219" s="660">
        <x:v>50000</x:v>
      </x:c>
      <x:c r="E219" s="837">
        <x:v>46230</x:v>
      </x:c>
      <x:c r="F219" s="658">
        <x:v>3770</x:v>
      </x:c>
      <x:c r="G219" s="836">
        <x:v>0</x:v>
      </x:c>
      <x:c r="H219" s="659">
        <x:v>0</x:v>
      </x:c>
      <x:c r="I219" s="658">
        <x:f>G219-H219</x:f>
        <x:v>0</x:v>
      </x:c>
      <x:c r="J219" s="660">
        <x:v>5000</x:v>
      </x:c>
      <x:c r="K219" s="659">
        <x:v>0</x:v>
      </x:c>
      <x:c r="L219" s="658">
        <x:v>-10000</x:v>
      </x:c>
      <x:c r="M219" s="833"/>
    </x:row>
    <x:row r="220" spans="1:13" s="689" customFormat="1" ht="21" customHeight="1">
      <x:c r="A220" s="832"/>
      <x:c r="B220" s="831" t="s">
        <x:v>456</x:v>
      </x:c>
      <x:c r="C220" s="807">
        <x:f t="shared" ref="C220:L220" si="44">C216-C212</x:f>
        <x:v>-45000</x:v>
      </x:c>
      <x:c r="D220" s="806">
        <x:f t="shared" si="44"/>
        <x:v>0</x:v>
      </x:c>
      <x:c r="E220" s="805">
        <x:f t="shared" si="44"/>
        <x:v>0</x:v>
      </x:c>
      <x:c r="F220" s="804">
        <x:f t="shared" si="44"/>
        <x:v>0</x:v>
      </x:c>
      <x:c r="G220" s="806">
        <x:f t="shared" si="44"/>
        <x:v>0</x:v>
      </x:c>
      <x:c r="H220" s="805">
        <x:f t="shared" si="44"/>
        <x:v>0</x:v>
      </x:c>
      <x:c r="I220" s="804">
        <x:f t="shared" si="44"/>
        <x:v>0</x:v>
      </x:c>
      <x:c r="J220" s="806">
        <x:f t="shared" si="44"/>
        <x:v>-1000000</x:v>
      </x:c>
      <x:c r="K220" s="805">
        <x:f t="shared" si="44"/>
        <x:v>0</x:v>
      </x:c>
      <x:c r="L220" s="804">
        <x:f t="shared" si="44"/>
        <x:v>1000000</x:v>
      </x:c>
      <x:c r="M220" s="830" t="s">
        <x:v>1374</x:v>
      </x:c>
    </x:row>
    <x:row r="221" spans="1:13" s="689" customFormat="1" ht="20.25" customHeight="1">
      <x:c r="A221" s="841" t="s">
        <x:v>1408</x:v>
      </x:c>
      <x:c r="B221" s="840" t="s">
        <x:v>1295</x:v>
      </x:c>
      <x:c r="C221" s="788">
        <x:v>66150000</x:v>
      </x:c>
      <x:c r="D221" s="786">
        <x:v>0</x:v>
      </x:c>
      <x:c r="E221" s="785">
        <x:v>0</x:v>
      </x:c>
      <x:c r="F221" s="784">
        <x:v>0</x:v>
      </x:c>
      <x:c r="G221" s="786">
        <x:v>50000</x:v>
      </x:c>
      <x:c r="H221" s="785">
        <x:v>0</x:v>
      </x:c>
      <x:c r="I221" s="784">
        <x:v>50000</x:v>
      </x:c>
      <x:c r="J221" s="786">
        <x:v>1000000</x:v>
      </x:c>
      <x:c r="K221" s="785">
        <x:v>0</x:v>
      </x:c>
      <x:c r="L221" s="784">
        <x:v>65100000</x:v>
      </x:c>
      <x:c r="M221" s="839" t="s">
        <x:v>1668</x:v>
      </x:c>
    </x:row>
    <x:row r="222" spans="1:13" s="689" customFormat="1" ht="20.25" customHeight="1">
      <x:c r="A222" s="834" t="s">
        <x:v>1735</x:v>
      </x:c>
      <x:c r="B222" s="709" t="s">
        <x:v>117</x:v>
      </x:c>
      <x:c r="C222" s="676">
        <x:v>62891000</x:v>
      </x:c>
      <x:c r="D222" s="674">
        <x:v>0</x:v>
      </x:c>
      <x:c r="E222" s="659">
        <x:v>0</x:v>
      </x:c>
      <x:c r="F222" s="672">
        <x:v>0</x:v>
      </x:c>
      <x:c r="G222" s="674">
        <x:v>40000</x:v>
      </x:c>
      <x:c r="H222" s="673">
        <x:v>0</x:v>
      </x:c>
      <x:c r="I222" s="672">
        <x:v>40000</x:v>
      </x:c>
      <x:c r="J222" s="660">
        <x:v>1000000</x:v>
      </x:c>
      <x:c r="K222" s="659">
        <x:v>0</x:v>
      </x:c>
      <x:c r="L222" s="658">
        <x:v>61851000</x:v>
      </x:c>
      <x:c r="M222" s="833" t="s">
        <x:v>1720</x:v>
      </x:c>
    </x:row>
    <x:row r="223" spans="1:13" s="689" customFormat="1" ht="20.25" customHeight="1">
      <x:c r="A223" s="834" t="s">
        <x:v>1864</x:v>
      </x:c>
      <x:c r="B223" s="709" t="s">
        <x:v>148</x:v>
      </x:c>
      <x:c r="C223" s="661">
        <x:v>3121000</x:v>
      </x:c>
      <x:c r="D223" s="660">
        <x:v>0</x:v>
      </x:c>
      <x:c r="E223" s="659">
        <x:v>0</x:v>
      </x:c>
      <x:c r="F223" s="658">
        <x:v>0</x:v>
      </x:c>
      <x:c r="G223" s="660">
        <x:v>0</x:v>
      </x:c>
      <x:c r="H223" s="659">
        <x:v>0</x:v>
      </x:c>
      <x:c r="I223" s="658">
        <x:v>0</x:v>
      </x:c>
      <x:c r="J223" s="660">
        <x:v>0</x:v>
      </x:c>
      <x:c r="K223" s="659">
        <x:v>0</x:v>
      </x:c>
      <x:c r="L223" s="658">
        <x:v>3121000</x:v>
      </x:c>
      <x:c r="M223" s="833"/>
    </x:row>
    <x:row r="224" spans="1:13" s="689" customFormat="1" ht="20.25" customHeight="1">
      <x:c r="A224" s="834" t="s">
        <x:v>1738</x:v>
      </x:c>
      <x:c r="B224" s="838" t="s">
        <x:v>646</x:v>
      </x:c>
      <x:c r="C224" s="661">
        <x:v>138000</x:v>
      </x:c>
      <x:c r="D224" s="836">
        <x:v>0</x:v>
      </x:c>
      <x:c r="E224" s="659">
        <x:v>0</x:v>
      </x:c>
      <x:c r="F224" s="843">
        <x:v>0</x:v>
      </x:c>
      <x:c r="G224" s="836">
        <x:v>10000</x:v>
      </x:c>
      <x:c r="H224" s="837">
        <x:v>0</x:v>
      </x:c>
      <x:c r="I224" s="843">
        <x:v>10000</x:v>
      </x:c>
      <x:c r="J224" s="660">
        <x:v>0</x:v>
      </x:c>
      <x:c r="K224" s="659">
        <x:v>0</x:v>
      </x:c>
      <x:c r="L224" s="658">
        <x:v>128000</x:v>
      </x:c>
      <x:c r="M224" s="833"/>
    </x:row>
    <x:row r="225" spans="1:13" s="689" customFormat="1" ht="20.25" customHeight="1">
      <x:c r="A225" s="834" t="s">
        <x:v>1860</x:v>
      </x:c>
      <x:c r="B225" s="669" t="s">
        <x:v>1294</x:v>
      </x:c>
      <x:c r="C225" s="668">
        <x:f>D225+G225+J225+K225+L225</x:f>
        <x:v>66150000</x:v>
      </x:c>
      <x:c r="D225" s="666">
        <x:f t="shared" ref="D225:L225" si="45">D226+D227+D228</x:f>
        <x:v>0</x:v>
      </x:c>
      <x:c r="E225" s="665">
        <x:f t="shared" si="45"/>
        <x:v>0</x:v>
      </x:c>
      <x:c r="F225" s="664">
        <x:f t="shared" si="45"/>
        <x:v>0</x:v>
      </x:c>
      <x:c r="G225" s="666">
        <x:f t="shared" si="45"/>
        <x:v>50000</x:v>
      </x:c>
      <x:c r="H225" s="665">
        <x:f t="shared" si="45"/>
        <x:v>0</x:v>
      </x:c>
      <x:c r="I225" s="664">
        <x:f t="shared" si="45"/>
        <x:v>50000</x:v>
      </x:c>
      <x:c r="J225" s="666">
        <x:f t="shared" si="45"/>
        <x:v>200000</x:v>
      </x:c>
      <x:c r="K225" s="665">
        <x:f t="shared" si="45"/>
        <x:v>0</x:v>
      </x:c>
      <x:c r="L225" s="664">
        <x:f t="shared" si="45"/>
        <x:v>65900000</x:v>
      </x:c>
      <x:c r="M225" s="833"/>
    </x:row>
    <x:row r="226" spans="1:13" s="689" customFormat="1" ht="20.25" customHeight="1">
      <x:c r="A226" s="834"/>
      <x:c r="B226" s="709" t="s">
        <x:v>117</x:v>
      </x:c>
      <x:c r="C226" s="661">
        <x:f>D226+G226+J226+K226+L226</x:f>
        <x:v>62891000</x:v>
      </x:c>
      <x:c r="D226" s="660">
        <x:v>0</x:v>
      </x:c>
      <x:c r="E226" s="659">
        <x:v>0</x:v>
      </x:c>
      <x:c r="F226" s="658">
        <x:v>0</x:v>
      </x:c>
      <x:c r="G226" s="660">
        <x:v>40000</x:v>
      </x:c>
      <x:c r="H226" s="659">
        <x:v>0</x:v>
      </x:c>
      <x:c r="I226" s="658">
        <x:f>G226-H226</x:f>
        <x:v>40000</x:v>
      </x:c>
      <x:c r="J226" s="660">
        <x:v>200000</x:v>
      </x:c>
      <x:c r="K226" s="659">
        <x:v>0</x:v>
      </x:c>
      <x:c r="L226" s="658">
        <x:f>61851000+800000</x:f>
        <x:v>62651000</x:v>
      </x:c>
      <x:c r="M226" s="651"/>
    </x:row>
    <x:row r="227" spans="1:13" s="689" customFormat="1" ht="20.25" customHeight="1">
      <x:c r="A227" s="835" t="s">
        <x:v>454</x:v>
      </x:c>
      <x:c r="B227" s="709" t="s">
        <x:v>148</x:v>
      </x:c>
      <x:c r="C227" s="661">
        <x:f>D227+G227+J227+K227+L227</x:f>
        <x:v>3121000</x:v>
      </x:c>
      <x:c r="D227" s="660">
        <x:v>0</x:v>
      </x:c>
      <x:c r="E227" s="659">
        <x:v>0</x:v>
      </x:c>
      <x:c r="F227" s="658">
        <x:v>0</x:v>
      </x:c>
      <x:c r="G227" s="660">
        <x:v>0</x:v>
      </x:c>
      <x:c r="H227" s="659">
        <x:v>0</x:v>
      </x:c>
      <x:c r="I227" s="658">
        <x:f>G227-H227</x:f>
        <x:v>0</x:v>
      </x:c>
      <x:c r="J227" s="660">
        <x:v>0</x:v>
      </x:c>
      <x:c r="K227" s="659">
        <x:v>0</x:v>
      </x:c>
      <x:c r="L227" s="658">
        <x:v>3121000</x:v>
      </x:c>
      <x:c r="M227" s="651"/>
    </x:row>
    <x:row r="228" spans="1:13" s="689" customFormat="1" ht="20.25" customHeight="1">
      <x:c r="A228" s="834"/>
      <x:c r="B228" s="842" t="s">
        <x:v>646</x:v>
      </x:c>
      <x:c r="C228" s="661">
        <x:f>D228+G228+J228+K228+L228</x:f>
        <x:v>138000</x:v>
      </x:c>
      <x:c r="D228" s="660">
        <x:v>0</x:v>
      </x:c>
      <x:c r="E228" s="837">
        <x:v>0</x:v>
      </x:c>
      <x:c r="F228" s="658">
        <x:v>0</x:v>
      </x:c>
      <x:c r="G228" s="836">
        <x:v>10000</x:v>
      </x:c>
      <x:c r="H228" s="659">
        <x:v>0</x:v>
      </x:c>
      <x:c r="I228" s="658">
        <x:f>G228-H228</x:f>
        <x:v>10000</x:v>
      </x:c>
      <x:c r="J228" s="660">
        <x:v>0</x:v>
      </x:c>
      <x:c r="K228" s="659">
        <x:v>0</x:v>
      </x:c>
      <x:c r="L228" s="658">
        <x:v>128000</x:v>
      </x:c>
      <x:c r="M228" s="833"/>
    </x:row>
    <x:row r="229" spans="1:13" s="689" customFormat="1" ht="20.25" customHeight="1">
      <x:c r="A229" s="832"/>
      <x:c r="B229" s="831" t="s">
        <x:v>456</x:v>
      </x:c>
      <x:c r="C229" s="807">
        <x:f t="shared" ref="C229:L229" si="46">C225-C221</x:f>
        <x:v>0</x:v>
      </x:c>
      <x:c r="D229" s="806">
        <x:f t="shared" si="46"/>
        <x:v>0</x:v>
      </x:c>
      <x:c r="E229" s="805">
        <x:f t="shared" si="46"/>
        <x:v>0</x:v>
      </x:c>
      <x:c r="F229" s="804">
        <x:f t="shared" si="46"/>
        <x:v>0</x:v>
      </x:c>
      <x:c r="G229" s="806">
        <x:f t="shared" si="46"/>
        <x:v>0</x:v>
      </x:c>
      <x:c r="H229" s="805">
        <x:f t="shared" si="46"/>
        <x:v>0</x:v>
      </x:c>
      <x:c r="I229" s="804">
        <x:f t="shared" si="46"/>
        <x:v>0</x:v>
      </x:c>
      <x:c r="J229" s="806">
        <x:f t="shared" si="46"/>
        <x:v>-800000</x:v>
      </x:c>
      <x:c r="K229" s="805">
        <x:f t="shared" si="46"/>
        <x:v>0</x:v>
      </x:c>
      <x:c r="L229" s="804">
        <x:f t="shared" si="46"/>
        <x:v>800000</x:v>
      </x:c>
      <x:c r="M229" s="830" t="s">
        <x:v>1374</x:v>
      </x:c>
    </x:row>
    <x:row r="230" spans="1:13" s="689" customFormat="1" ht="20.25" customHeight="1">
      <x:c r="A230" s="841" t="s">
        <x:v>1836</x:v>
      </x:c>
      <x:c r="B230" s="840" t="s">
        <x:v>1295</x:v>
      </x:c>
      <x:c r="C230" s="788">
        <x:v>37645000</x:v>
      </x:c>
      <x:c r="D230" s="786">
        <x:v>0</x:v>
      </x:c>
      <x:c r="E230" s="785">
        <x:v>0</x:v>
      </x:c>
      <x:c r="F230" s="784">
        <x:v>0</x:v>
      </x:c>
      <x:c r="G230" s="786">
        <x:v>50000</x:v>
      </x:c>
      <x:c r="H230" s="785">
        <x:v>75</x:v>
      </x:c>
      <x:c r="I230" s="784">
        <x:v>49925</x:v>
      </x:c>
      <x:c r="J230" s="786">
        <x:v>1000000</x:v>
      </x:c>
      <x:c r="K230" s="785">
        <x:v>0</x:v>
      </x:c>
      <x:c r="L230" s="784">
        <x:v>36595000</x:v>
      </x:c>
      <x:c r="M230" s="839" t="s">
        <x:v>1668</x:v>
      </x:c>
    </x:row>
    <x:row r="231" spans="1:13" s="689" customFormat="1" ht="25.5" customHeight="1">
      <x:c r="A231" s="834" t="s">
        <x:v>1856</x:v>
      </x:c>
      <x:c r="B231" s="709" t="s">
        <x:v>117</x:v>
      </x:c>
      <x:c r="C231" s="676">
        <x:v>36235000</x:v>
      </x:c>
      <x:c r="D231" s="674">
        <x:v>0</x:v>
      </x:c>
      <x:c r="E231" s="659">
        <x:v>0</x:v>
      </x:c>
      <x:c r="F231" s="672">
        <x:v>0</x:v>
      </x:c>
      <x:c r="G231" s="674">
        <x:v>40000</x:v>
      </x:c>
      <x:c r="H231" s="673">
        <x:v>0</x:v>
      </x:c>
      <x:c r="I231" s="672">
        <x:v>40000</x:v>
      </x:c>
      <x:c r="J231" s="660">
        <x:v>1000000</x:v>
      </x:c>
      <x:c r="K231" s="659">
        <x:v>0</x:v>
      </x:c>
      <x:c r="L231" s="658">
        <x:v>35195000</x:v>
      </x:c>
      <x:c r="M231" s="833" t="s">
        <x:v>1720</x:v>
      </x:c>
    </x:row>
    <x:row r="232" spans="1:13" s="689" customFormat="1" ht="25.5" customHeight="1">
      <x:c r="A232" s="834" t="s">
        <x:v>1838</x:v>
      </x:c>
      <x:c r="B232" s="709" t="s">
        <x:v>148</x:v>
      </x:c>
      <x:c r="C232" s="661">
        <x:v>1364000</x:v>
      </x:c>
      <x:c r="D232" s="660">
        <x:v>0</x:v>
      </x:c>
      <x:c r="E232" s="659">
        <x:v>0</x:v>
      </x:c>
      <x:c r="F232" s="658">
        <x:v>0</x:v>
      </x:c>
      <x:c r="G232" s="660">
        <x:v>0</x:v>
      </x:c>
      <x:c r="H232" s="659">
        <x:v>0</x:v>
      </x:c>
      <x:c r="I232" s="658">
        <x:v>0</x:v>
      </x:c>
      <x:c r="J232" s="660">
        <x:v>0</x:v>
      </x:c>
      <x:c r="K232" s="659">
        <x:v>0</x:v>
      </x:c>
      <x:c r="L232" s="658">
        <x:v>1364000</x:v>
      </x:c>
      <x:c r="M232" s="833"/>
    </x:row>
    <x:row r="233" spans="1:13" s="689" customFormat="1" ht="25.5" customHeight="1">
      <x:c r="A233" s="834" t="s">
        <x:v>1739</x:v>
      </x:c>
      <x:c r="B233" s="838" t="s">
        <x:v>646</x:v>
      </x:c>
      <x:c r="C233" s="844">
        <x:v>46000</x:v>
      </x:c>
      <x:c r="D233" s="836">
        <x:v>0</x:v>
      </x:c>
      <x:c r="E233" s="659">
        <x:v>0</x:v>
      </x:c>
      <x:c r="F233" s="843">
        <x:v>0</x:v>
      </x:c>
      <x:c r="G233" s="836">
        <x:v>10000</x:v>
      </x:c>
      <x:c r="H233" s="837">
        <x:v>75</x:v>
      </x:c>
      <x:c r="I233" s="843">
        <x:v>9925</x:v>
      </x:c>
      <x:c r="J233" s="660">
        <x:v>0</x:v>
      </x:c>
      <x:c r="K233" s="659">
        <x:v>0</x:v>
      </x:c>
      <x:c r="L233" s="658">
        <x:v>36000</x:v>
      </x:c>
      <x:c r="M233" s="833"/>
    </x:row>
    <x:row r="234" spans="1:13" s="689" customFormat="1" ht="20.25" customHeight="1">
      <x:c r="A234" s="834" t="s">
        <x:v>1860</x:v>
      </x:c>
      <x:c r="B234" s="669" t="s">
        <x:v>1294</x:v>
      </x:c>
      <x:c r="C234" s="668">
        <x:f>D234+G234+J234+K234+L234</x:f>
        <x:v>37645000</x:v>
      </x:c>
      <x:c r="D234" s="666">
        <x:f t="shared" ref="D234:L234" si="47">D235+D236+D237</x:f>
        <x:v>0</x:v>
      </x:c>
      <x:c r="E234" s="665">
        <x:f t="shared" si="47"/>
        <x:v>0</x:v>
      </x:c>
      <x:c r="F234" s="664">
        <x:f t="shared" si="47"/>
        <x:v>0</x:v>
      </x:c>
      <x:c r="G234" s="666">
        <x:f t="shared" si="47"/>
        <x:v>50000</x:v>
      </x:c>
      <x:c r="H234" s="665">
        <x:f t="shared" si="47"/>
        <x:v>75</x:v>
      </x:c>
      <x:c r="I234" s="664">
        <x:f t="shared" si="47"/>
        <x:v>49925</x:v>
      </x:c>
      <x:c r="J234" s="666">
        <x:f t="shared" si="47"/>
        <x:v>200000</x:v>
      </x:c>
      <x:c r="K234" s="665">
        <x:f t="shared" si="47"/>
        <x:v>0</x:v>
      </x:c>
      <x:c r="L234" s="664">
        <x:f t="shared" si="47"/>
        <x:v>37395000</x:v>
      </x:c>
      <x:c r="M234" s="833"/>
    </x:row>
    <x:row r="235" spans="1:13" s="689" customFormat="1" ht="20.25" customHeight="1">
      <x:c r="A235" s="834"/>
      <x:c r="B235" s="709" t="s">
        <x:v>117</x:v>
      </x:c>
      <x:c r="C235" s="661">
        <x:f>D235+G235+J235+K235+L235</x:f>
        <x:v>36235000</x:v>
      </x:c>
      <x:c r="D235" s="660">
        <x:v>0</x:v>
      </x:c>
      <x:c r="E235" s="659">
        <x:v>0</x:v>
      </x:c>
      <x:c r="F235" s="658">
        <x:v>0</x:v>
      </x:c>
      <x:c r="G235" s="660">
        <x:v>40000</x:v>
      </x:c>
      <x:c r="H235" s="659">
        <x:v>0</x:v>
      </x:c>
      <x:c r="I235" s="658">
        <x:f>G235-H235</x:f>
        <x:v>40000</x:v>
      </x:c>
      <x:c r="J235" s="660">
        <x:v>200000</x:v>
      </x:c>
      <x:c r="K235" s="659">
        <x:v>0</x:v>
      </x:c>
      <x:c r="L235" s="658">
        <x:f>35195000+800000</x:f>
        <x:v>35995000</x:v>
      </x:c>
      <x:c r="M235" s="651"/>
    </x:row>
    <x:row r="236" spans="1:13" s="689" customFormat="1" ht="20.25" customHeight="1">
      <x:c r="A236" s="835" t="s">
        <x:v>454</x:v>
      </x:c>
      <x:c r="B236" s="709" t="s">
        <x:v>148</x:v>
      </x:c>
      <x:c r="C236" s="661">
        <x:f>D236+G236+J236+K236+L236</x:f>
        <x:v>1364000</x:v>
      </x:c>
      <x:c r="D236" s="660">
        <x:v>0</x:v>
      </x:c>
      <x:c r="E236" s="659">
        <x:v>0</x:v>
      </x:c>
      <x:c r="F236" s="658">
        <x:v>0</x:v>
      </x:c>
      <x:c r="G236" s="660">
        <x:v>0</x:v>
      </x:c>
      <x:c r="H236" s="659">
        <x:v>0</x:v>
      </x:c>
      <x:c r="I236" s="658">
        <x:f>G236-H236</x:f>
        <x:v>0</x:v>
      </x:c>
      <x:c r="J236" s="660">
        <x:v>0</x:v>
      </x:c>
      <x:c r="K236" s="659">
        <x:v>0</x:v>
      </x:c>
      <x:c r="L236" s="658">
        <x:v>1364000</x:v>
      </x:c>
      <x:c r="M236" s="651"/>
    </x:row>
    <x:row r="237" spans="1:13" s="689" customFormat="1" ht="20.25" customHeight="1">
      <x:c r="A237" s="834"/>
      <x:c r="B237" s="842" t="s">
        <x:v>646</x:v>
      </x:c>
      <x:c r="C237" s="661">
        <x:f>D237+G237+J237+K237+L237</x:f>
        <x:v>46000</x:v>
      </x:c>
      <x:c r="D237" s="660">
        <x:v>0</x:v>
      </x:c>
      <x:c r="E237" s="837">
        <x:v>0</x:v>
      </x:c>
      <x:c r="F237" s="658">
        <x:v>0</x:v>
      </x:c>
      <x:c r="G237" s="836">
        <x:v>10000</x:v>
      </x:c>
      <x:c r="H237" s="659">
        <x:v>75</x:v>
      </x:c>
      <x:c r="I237" s="658">
        <x:f>G237-H237</x:f>
        <x:v>9925</x:v>
      </x:c>
      <x:c r="J237" s="660">
        <x:v>0</x:v>
      </x:c>
      <x:c r="K237" s="659">
        <x:v>0</x:v>
      </x:c>
      <x:c r="L237" s="658">
        <x:v>36000</x:v>
      </x:c>
      <x:c r="M237" s="833"/>
    </x:row>
    <x:row r="238" spans="1:13" s="689" customFormat="1" ht="20.25" customHeight="1">
      <x:c r="A238" s="832"/>
      <x:c r="B238" s="831" t="s">
        <x:v>456</x:v>
      </x:c>
      <x:c r="C238" s="807">
        <x:f t="shared" ref="C238:L238" si="48">C234-C230</x:f>
        <x:v>0</x:v>
      </x:c>
      <x:c r="D238" s="806">
        <x:f t="shared" si="48"/>
        <x:v>0</x:v>
      </x:c>
      <x:c r="E238" s="805">
        <x:f t="shared" si="48"/>
        <x:v>0</x:v>
      </x:c>
      <x:c r="F238" s="804">
        <x:f t="shared" si="48"/>
        <x:v>0</x:v>
      </x:c>
      <x:c r="G238" s="806">
        <x:f t="shared" si="48"/>
        <x:v>0</x:v>
      </x:c>
      <x:c r="H238" s="805">
        <x:f t="shared" si="48"/>
        <x:v>0</x:v>
      </x:c>
      <x:c r="I238" s="804">
        <x:f t="shared" si="48"/>
        <x:v>0</x:v>
      </x:c>
      <x:c r="J238" s="806">
        <x:f t="shared" si="48"/>
        <x:v>-800000</x:v>
      </x:c>
      <x:c r="K238" s="805">
        <x:f t="shared" si="48"/>
        <x:v>0</x:v>
      </x:c>
      <x:c r="L238" s="804">
        <x:f t="shared" si="48"/>
        <x:v>800000</x:v>
      </x:c>
      <x:c r="M238" s="830" t="s">
        <x:v>1374</x:v>
      </x:c>
    </x:row>
    <x:row r="239" spans="1:13" s="689" customFormat="1" ht="20.25" customHeight="1">
      <x:c r="A239" s="841" t="s">
        <x:v>1853</x:v>
      </x:c>
      <x:c r="B239" s="840" t="s">
        <x:v>1295</x:v>
      </x:c>
      <x:c r="C239" s="788">
        <x:v>23828000</x:v>
      </x:c>
      <x:c r="D239" s="786">
        <x:v>100000</x:v>
      </x:c>
      <x:c r="E239" s="785">
        <x:v>100000</x:v>
      </x:c>
      <x:c r="F239" s="784">
        <x:v>0</x:v>
      </x:c>
      <x:c r="G239" s="786">
        <x:v>1000000</x:v>
      </x:c>
      <x:c r="H239" s="785">
        <x:v>0</x:v>
      </x:c>
      <x:c r="I239" s="784">
        <x:v>1000000</x:v>
      </x:c>
      <x:c r="J239" s="786">
        <x:v>1000000</x:v>
      </x:c>
      <x:c r="K239" s="785">
        <x:v>0</x:v>
      </x:c>
      <x:c r="L239" s="784">
        <x:v>21728000</x:v>
      </x:c>
      <x:c r="M239" s="839" t="s">
        <x:v>1668</x:v>
      </x:c>
    </x:row>
    <x:row r="240" spans="1:13" s="689" customFormat="1" ht="21" customHeight="1">
      <x:c r="A240" s="834" t="s">
        <x:v>1734</x:v>
      </x:c>
      <x:c r="B240" s="709" t="s">
        <x:v>117</x:v>
      </x:c>
      <x:c r="C240" s="676">
        <x:v>22718000</x:v>
      </x:c>
      <x:c r="D240" s="674">
        <x:v>95000</x:v>
      </x:c>
      <x:c r="E240" s="659">
        <x:v>95000</x:v>
      </x:c>
      <x:c r="F240" s="672">
        <x:v>0</x:v>
      </x:c>
      <x:c r="G240" s="674">
        <x:v>990000</x:v>
      </x:c>
      <x:c r="H240" s="673">
        <x:v>0</x:v>
      </x:c>
      <x:c r="I240" s="672">
        <x:v>990000</x:v>
      </x:c>
      <x:c r="J240" s="660">
        <x:v>1000000</x:v>
      </x:c>
      <x:c r="K240" s="659">
        <x:v>0</x:v>
      </x:c>
      <x:c r="L240" s="658">
        <x:v>20633000</x:v>
      </x:c>
      <x:c r="M240" s="833" t="s">
        <x:v>1720</x:v>
      </x:c>
    </x:row>
    <x:row r="241" spans="1:13" s="689" customFormat="1" ht="21" customHeight="1">
      <x:c r="A241" s="834" t="s">
        <x:v>1737</x:v>
      </x:c>
      <x:c r="B241" s="709" t="s">
        <x:v>148</x:v>
      </x:c>
      <x:c r="C241" s="661">
        <x:v>1077000</x:v>
      </x:c>
      <x:c r="D241" s="660">
        <x:v>0</x:v>
      </x:c>
      <x:c r="E241" s="659">
        <x:v>0</x:v>
      </x:c>
      <x:c r="F241" s="658">
        <x:v>0</x:v>
      </x:c>
      <x:c r="G241" s="660">
        <x:v>0</x:v>
      </x:c>
      <x:c r="H241" s="659">
        <x:v>0</x:v>
      </x:c>
      <x:c r="I241" s="658">
        <x:v>0</x:v>
      </x:c>
      <x:c r="J241" s="660">
        <x:v>0</x:v>
      </x:c>
      <x:c r="K241" s="659">
        <x:v>0</x:v>
      </x:c>
      <x:c r="L241" s="658">
        <x:v>1077000</x:v>
      </x:c>
      <x:c r="M241" s="833"/>
    </x:row>
    <x:row r="242" spans="1:13" s="689" customFormat="1" ht="21" customHeight="1">
      <x:c r="A242" s="834" t="s">
        <x:v>1736</x:v>
      </x:c>
      <x:c r="B242" s="838" t="s">
        <x:v>646</x:v>
      </x:c>
      <x:c r="C242" s="661">
        <x:v>33000</x:v>
      </x:c>
      <x:c r="D242" s="836">
        <x:v>5000</x:v>
      </x:c>
      <x:c r="E242" s="659">
        <x:v>5000</x:v>
      </x:c>
      <x:c r="F242" s="843">
        <x:v>0</x:v>
      </x:c>
      <x:c r="G242" s="836">
        <x:v>10000</x:v>
      </x:c>
      <x:c r="H242" s="837">
        <x:v>0</x:v>
      </x:c>
      <x:c r="I242" s="843">
        <x:v>10000</x:v>
      </x:c>
      <x:c r="J242" s="660">
        <x:v>0</x:v>
      </x:c>
      <x:c r="K242" s="659">
        <x:v>0</x:v>
      </x:c>
      <x:c r="L242" s="658">
        <x:v>18000</x:v>
      </x:c>
      <x:c r="M242" s="833"/>
    </x:row>
    <x:row r="243" spans="1:13" s="689" customFormat="1" ht="20.25" customHeight="1">
      <x:c r="A243" s="834" t="s">
        <x:v>1819</x:v>
      </x:c>
      <x:c r="B243" s="669" t="s">
        <x:v>1294</x:v>
      </x:c>
      <x:c r="C243" s="668">
        <x:f>D243+G243+J243+K243+L243</x:f>
        <x:v>23828000</x:v>
      </x:c>
      <x:c r="D243" s="666">
        <x:f t="shared" ref="D243:L243" si="49">D244+D245+D246</x:f>
        <x:v>100000</x:v>
      </x:c>
      <x:c r="E243" s="665">
        <x:f t="shared" si="49"/>
        <x:v>100000</x:v>
      </x:c>
      <x:c r="F243" s="664">
        <x:f t="shared" si="49"/>
        <x:v>0</x:v>
      </x:c>
      <x:c r="G243" s="666">
        <x:f t="shared" si="49"/>
        <x:v>1000000</x:v>
      </x:c>
      <x:c r="H243" s="665">
        <x:f t="shared" si="49"/>
        <x:v>356000</x:v>
      </x:c>
      <x:c r="I243" s="664">
        <x:f t="shared" si="49"/>
        <x:v>644000</x:v>
      </x:c>
      <x:c r="J243" s="666">
        <x:f t="shared" si="49"/>
        <x:v>0</x:v>
      </x:c>
      <x:c r="K243" s="665">
        <x:f t="shared" si="49"/>
        <x:v>0</x:v>
      </x:c>
      <x:c r="L243" s="664">
        <x:f t="shared" si="49"/>
        <x:v>22728000</x:v>
      </x:c>
      <x:c r="M243" s="833"/>
    </x:row>
    <x:row r="244" spans="1:13" s="689" customFormat="1" ht="22.5" customHeight="1">
      <x:c r="A244" s="834"/>
      <x:c r="B244" s="709" t="s">
        <x:v>117</x:v>
      </x:c>
      <x:c r="C244" s="661">
        <x:f>D244+G244+J244+K244+L244</x:f>
        <x:v>22718000</x:v>
      </x:c>
      <x:c r="D244" s="660">
        <x:v>95000</x:v>
      </x:c>
      <x:c r="E244" s="659">
        <x:v>95000</x:v>
      </x:c>
      <x:c r="F244" s="658">
        <x:v>0</x:v>
      </x:c>
      <x:c r="G244" s="660">
        <x:v>990000</x:v>
      </x:c>
      <x:c r="H244" s="659">
        <x:v>356000</x:v>
      </x:c>
      <x:c r="I244" s="658">
        <x:f>G244-H244</x:f>
        <x:v>634000</x:v>
      </x:c>
      <x:c r="J244" s="660">
        <x:v>0</x:v>
      </x:c>
      <x:c r="K244" s="659">
        <x:v>0</x:v>
      </x:c>
      <x:c r="L244" s="658">
        <x:f>20633000+1000000</x:f>
        <x:v>21633000</x:v>
      </x:c>
      <x:c r="M244" s="651"/>
    </x:row>
    <x:row r="245" spans="1:13" s="689" customFormat="1" ht="22.5" customHeight="1">
      <x:c r="A245" s="835" t="s">
        <x:v>454</x:v>
      </x:c>
      <x:c r="B245" s="709" t="s">
        <x:v>148</x:v>
      </x:c>
      <x:c r="C245" s="661">
        <x:f>D245+G245+J245+K245+L245</x:f>
        <x:v>1077000</x:v>
      </x:c>
      <x:c r="D245" s="660">
        <x:v>0</x:v>
      </x:c>
      <x:c r="E245" s="659">
        <x:v>0</x:v>
      </x:c>
      <x:c r="F245" s="658">
        <x:v>0</x:v>
      </x:c>
      <x:c r="G245" s="660">
        <x:v>0</x:v>
      </x:c>
      <x:c r="H245" s="659">
        <x:v>0</x:v>
      </x:c>
      <x:c r="I245" s="658">
        <x:f>G245-H245</x:f>
        <x:v>0</x:v>
      </x:c>
      <x:c r="J245" s="660">
        <x:v>0</x:v>
      </x:c>
      <x:c r="K245" s="659"/>
      <x:c r="L245" s="658">
        <x:v>1077000</x:v>
      </x:c>
      <x:c r="M245" s="651"/>
    </x:row>
    <x:row r="246" spans="1:13" s="689" customFormat="1" ht="22.5" customHeight="1">
      <x:c r="A246" s="834"/>
      <x:c r="B246" s="842" t="s">
        <x:v>646</x:v>
      </x:c>
      <x:c r="C246" s="661">
        <x:f>D246+G246+J246+K246+L246</x:f>
        <x:v>33000</x:v>
      </x:c>
      <x:c r="D246" s="660">
        <x:v>5000</x:v>
      </x:c>
      <x:c r="E246" s="837">
        <x:v>5000</x:v>
      </x:c>
      <x:c r="F246" s="658">
        <x:v>0</x:v>
      </x:c>
      <x:c r="G246" s="836">
        <x:v>10000</x:v>
      </x:c>
      <x:c r="H246" s="659">
        <x:v>0</x:v>
      </x:c>
      <x:c r="I246" s="658">
        <x:f>G246-H246</x:f>
        <x:v>10000</x:v>
      </x:c>
      <x:c r="J246" s="660">
        <x:v>0</x:v>
      </x:c>
      <x:c r="K246" s="659">
        <x:v>0</x:v>
      </x:c>
      <x:c r="L246" s="658">
        <x:v>18000</x:v>
      </x:c>
      <x:c r="M246" s="833"/>
    </x:row>
    <x:row r="247" spans="1:13" s="689" customFormat="1" ht="20.25" customHeight="1">
      <x:c r="A247" s="832"/>
      <x:c r="B247" s="831" t="s">
        <x:v>456</x:v>
      </x:c>
      <x:c r="C247" s="807">
        <x:f t="shared" ref="C247:L247" si="50">C243-C239</x:f>
        <x:v>0</x:v>
      </x:c>
      <x:c r="D247" s="806">
        <x:f t="shared" si="50"/>
        <x:v>0</x:v>
      </x:c>
      <x:c r="E247" s="805">
        <x:f t="shared" si="50"/>
        <x:v>0</x:v>
      </x:c>
      <x:c r="F247" s="804">
        <x:f t="shared" si="50"/>
        <x:v>0</x:v>
      </x:c>
      <x:c r="G247" s="806">
        <x:f t="shared" si="50"/>
        <x:v>0</x:v>
      </x:c>
      <x:c r="H247" s="805">
        <x:f t="shared" si="50"/>
        <x:v>356000</x:v>
      </x:c>
      <x:c r="I247" s="804">
        <x:f t="shared" si="50"/>
        <x:v>-356000</x:v>
      </x:c>
      <x:c r="J247" s="806">
        <x:f t="shared" si="50"/>
        <x:v>-1000000</x:v>
      </x:c>
      <x:c r="K247" s="805">
        <x:f t="shared" si="50"/>
        <x:v>0</x:v>
      </x:c>
      <x:c r="L247" s="804">
        <x:f t="shared" si="50"/>
        <x:v>1000000</x:v>
      </x:c>
      <x:c r="M247" s="830" t="s">
        <x:v>1374</x:v>
      </x:c>
    </x:row>
    <x:row r="248" spans="1:13" s="689" customFormat="1" ht="21" customHeight="1">
      <x:c r="A248" s="841" t="s">
        <x:v>1377</x:v>
      </x:c>
      <x:c r="B248" s="840" t="s">
        <x:v>1295</x:v>
      </x:c>
      <x:c r="C248" s="788">
        <x:v>21103000</x:v>
      </x:c>
      <x:c r="D248" s="786">
        <x:v>100000</x:v>
      </x:c>
      <x:c r="E248" s="785">
        <x:v>0</x:v>
      </x:c>
      <x:c r="F248" s="784">
        <x:v>100000</x:v>
      </x:c>
      <x:c r="G248" s="786">
        <x:v>400000</x:v>
      </x:c>
      <x:c r="H248" s="785">
        <x:v>357174</x:v>
      </x:c>
      <x:c r="I248" s="784">
        <x:v>42826</x:v>
      </x:c>
      <x:c r="J248" s="786">
        <x:v>1000000</x:v>
      </x:c>
      <x:c r="K248" s="785">
        <x:v>0</x:v>
      </x:c>
      <x:c r="L248" s="784">
        <x:v>19603000</x:v>
      </x:c>
      <x:c r="M248" s="839" t="s">
        <x:v>1668</x:v>
      </x:c>
    </x:row>
    <x:row r="249" spans="1:13" s="689" customFormat="1" ht="21" customHeight="1">
      <x:c r="A249" s="834" t="s">
        <x:v>1725</x:v>
      </x:c>
      <x:c r="B249" s="709" t="s">
        <x:v>117</x:v>
      </x:c>
      <x:c r="C249" s="676">
        <x:v>20096000</x:v>
      </x:c>
      <x:c r="D249" s="674">
        <x:v>100000</x:v>
      </x:c>
      <x:c r="E249" s="659">
        <x:v>0</x:v>
      </x:c>
      <x:c r="F249" s="672">
        <x:v>100000</x:v>
      </x:c>
      <x:c r="G249" s="674">
        <x:v>390000</x:v>
      </x:c>
      <x:c r="H249" s="673">
        <x:v>356000</x:v>
      </x:c>
      <x:c r="I249" s="672">
        <x:v>34000</x:v>
      </x:c>
      <x:c r="J249" s="660">
        <x:v>1000000</x:v>
      </x:c>
      <x:c r="K249" s="659">
        <x:v>0</x:v>
      </x:c>
      <x:c r="L249" s="658">
        <x:v>18606000</x:v>
      </x:c>
      <x:c r="M249" s="833" t="s">
        <x:v>1720</x:v>
      </x:c>
    </x:row>
    <x:row r="250" spans="1:13" s="689" customFormat="1" ht="21" customHeight="1">
      <x:c r="A250" s="834" t="s">
        <x:v>1852</x:v>
      </x:c>
      <x:c r="B250" s="709" t="s">
        <x:v>148</x:v>
      </x:c>
      <x:c r="C250" s="661">
        <x:v>978000</x:v>
      </x:c>
      <x:c r="D250" s="660">
        <x:v>0</x:v>
      </x:c>
      <x:c r="E250" s="659">
        <x:v>0</x:v>
      </x:c>
      <x:c r="F250" s="658">
        <x:v>0</x:v>
      </x:c>
      <x:c r="G250" s="660">
        <x:v>0</x:v>
      </x:c>
      <x:c r="H250" s="659">
        <x:v>0</x:v>
      </x:c>
      <x:c r="I250" s="658">
        <x:v>0</x:v>
      </x:c>
      <x:c r="J250" s="660">
        <x:v>0</x:v>
      </x:c>
      <x:c r="K250" s="659">
        <x:v>0</x:v>
      </x:c>
      <x:c r="L250" s="658">
        <x:v>978000</x:v>
      </x:c>
      <x:c r="M250" s="833"/>
    </x:row>
    <x:row r="251" spans="1:13" s="689" customFormat="1" ht="21" customHeight="1">
      <x:c r="A251" s="834" t="s">
        <x:v>1728</x:v>
      </x:c>
      <x:c r="B251" s="838" t="s">
        <x:v>646</x:v>
      </x:c>
      <x:c r="C251" s="844">
        <x:v>29000</x:v>
      </x:c>
      <x:c r="D251" s="836">
        <x:v>0</x:v>
      </x:c>
      <x:c r="E251" s="659">
        <x:v>0</x:v>
      </x:c>
      <x:c r="F251" s="843">
        <x:v>0</x:v>
      </x:c>
      <x:c r="G251" s="660">
        <x:v>10000</x:v>
      </x:c>
      <x:c r="H251" s="837">
        <x:v>1174</x:v>
      </x:c>
      <x:c r="I251" s="843">
        <x:v>8826</x:v>
      </x:c>
      <x:c r="J251" s="660">
        <x:v>0</x:v>
      </x:c>
      <x:c r="K251" s="659">
        <x:v>0</x:v>
      </x:c>
      <x:c r="L251" s="658">
        <x:v>19000</x:v>
      </x:c>
      <x:c r="M251" s="833"/>
    </x:row>
    <x:row r="252" spans="1:13" s="689" customFormat="1" ht="21" customHeight="1">
      <x:c r="A252" s="834" t="s">
        <x:v>1819</x:v>
      </x:c>
      <x:c r="B252" s="669" t="s">
        <x:v>1294</x:v>
      </x:c>
      <x:c r="C252" s="668">
        <x:f>D252+G252+J252+K252+L252</x:f>
        <x:v>21103000</x:v>
      </x:c>
      <x:c r="D252" s="666">
        <x:f t="shared" ref="D252:L252" si="51">D253+D254+D255</x:f>
        <x:v>100000</x:v>
      </x:c>
      <x:c r="E252" s="665">
        <x:f t="shared" si="51"/>
        <x:v>0</x:v>
      </x:c>
      <x:c r="F252" s="664">
        <x:f t="shared" si="51"/>
        <x:v>100000</x:v>
      </x:c>
      <x:c r="G252" s="666">
        <x:f t="shared" si="51"/>
        <x:v>400000</x:v>
      </x:c>
      <x:c r="H252" s="665">
        <x:f t="shared" si="51"/>
        <x:v>257174</x:v>
      </x:c>
      <x:c r="I252" s="664">
        <x:f t="shared" si="51"/>
        <x:v>142826</x:v>
      </x:c>
      <x:c r="J252" s="666">
        <x:f t="shared" si="51"/>
        <x:v>200000</x:v>
      </x:c>
      <x:c r="K252" s="665">
        <x:f t="shared" si="51"/>
        <x:v>0</x:v>
      </x:c>
      <x:c r="L252" s="664">
        <x:f t="shared" si="51"/>
        <x:v>20403000</x:v>
      </x:c>
      <x:c r="M252" s="833"/>
    </x:row>
    <x:row r="253" spans="1:13" s="689" customFormat="1" ht="21" customHeight="1">
      <x:c r="A253" s="834"/>
      <x:c r="B253" s="709" t="s">
        <x:v>117</x:v>
      </x:c>
      <x:c r="C253" s="661">
        <x:f>D253+G253+J253+K253+L253</x:f>
        <x:v>20096000</x:v>
      </x:c>
      <x:c r="D253" s="660">
        <x:v>100000</x:v>
      </x:c>
      <x:c r="E253" s="659">
        <x:v>0</x:v>
      </x:c>
      <x:c r="F253" s="658">
        <x:v>100000</x:v>
      </x:c>
      <x:c r="G253" s="660">
        <x:v>390000</x:v>
      </x:c>
      <x:c r="H253" s="659">
        <x:v>256000</x:v>
      </x:c>
      <x:c r="I253" s="658">
        <x:f>G253-H253</x:f>
        <x:v>134000</x:v>
      </x:c>
      <x:c r="J253" s="660">
        <x:v>200000</x:v>
      </x:c>
      <x:c r="K253" s="659">
        <x:v>0</x:v>
      </x:c>
      <x:c r="L253" s="658">
        <x:f>18606000+800000</x:f>
        <x:v>19406000</x:v>
      </x:c>
      <x:c r="M253" s="651"/>
    </x:row>
    <x:row r="254" spans="1:13" s="689" customFormat="1" ht="21" customHeight="1">
      <x:c r="A254" s="835" t="s">
        <x:v>1688</x:v>
      </x:c>
      <x:c r="B254" s="709" t="s">
        <x:v>148</x:v>
      </x:c>
      <x:c r="C254" s="661">
        <x:f>D254+G254+J254+K254+L254</x:f>
        <x:v>978000</x:v>
      </x:c>
      <x:c r="D254" s="660">
        <x:v>0</x:v>
      </x:c>
      <x:c r="E254" s="659">
        <x:v>0</x:v>
      </x:c>
      <x:c r="F254" s="658">
        <x:v>0</x:v>
      </x:c>
      <x:c r="G254" s="660">
        <x:v>0</x:v>
      </x:c>
      <x:c r="H254" s="659">
        <x:v>0</x:v>
      </x:c>
      <x:c r="I254" s="658">
        <x:f>G254-H254</x:f>
        <x:v>0</x:v>
      </x:c>
      <x:c r="J254" s="660">
        <x:v>0</x:v>
      </x:c>
      <x:c r="K254" s="659">
        <x:v>0</x:v>
      </x:c>
      <x:c r="L254" s="658">
        <x:v>978000</x:v>
      </x:c>
      <x:c r="M254" s="651"/>
    </x:row>
    <x:row r="255" spans="1:13" s="689" customFormat="1" ht="21" customHeight="1">
      <x:c r="A255" s="834"/>
      <x:c r="B255" s="842" t="s">
        <x:v>646</x:v>
      </x:c>
      <x:c r="C255" s="661">
        <x:f>D255+G255+J255+K255+L255</x:f>
        <x:v>29000</x:v>
      </x:c>
      <x:c r="D255" s="660">
        <x:v>0</x:v>
      </x:c>
      <x:c r="E255" s="837">
        <x:v>0</x:v>
      </x:c>
      <x:c r="F255" s="658">
        <x:v>0</x:v>
      </x:c>
      <x:c r="G255" s="836">
        <x:v>10000</x:v>
      </x:c>
      <x:c r="H255" s="659">
        <x:v>1174</x:v>
      </x:c>
      <x:c r="I255" s="658">
        <x:f>G255-H255</x:f>
        <x:v>8826</x:v>
      </x:c>
      <x:c r="J255" s="660">
        <x:v>0</x:v>
      </x:c>
      <x:c r="K255" s="659">
        <x:v>0</x:v>
      </x:c>
      <x:c r="L255" s="658">
        <x:v>19000</x:v>
      </x:c>
      <x:c r="M255" s="833"/>
    </x:row>
    <x:row r="256" spans="1:13" s="689" customFormat="1" ht="21" customHeight="1">
      <x:c r="A256" s="832"/>
      <x:c r="B256" s="831" t="s">
        <x:v>456</x:v>
      </x:c>
      <x:c r="C256" s="807">
        <x:f t="shared" ref="C256:L256" si="52">C252-C248</x:f>
        <x:v>0</x:v>
      </x:c>
      <x:c r="D256" s="806">
        <x:f t="shared" si="52"/>
        <x:v>0</x:v>
      </x:c>
      <x:c r="E256" s="805">
        <x:f t="shared" si="52"/>
        <x:v>0</x:v>
      </x:c>
      <x:c r="F256" s="804">
        <x:f t="shared" si="52"/>
        <x:v>0</x:v>
      </x:c>
      <x:c r="G256" s="806">
        <x:f t="shared" si="52"/>
        <x:v>0</x:v>
      </x:c>
      <x:c r="H256" s="805">
        <x:f t="shared" si="52"/>
        <x:v>-100000</x:v>
      </x:c>
      <x:c r="I256" s="804">
        <x:f t="shared" si="52"/>
        <x:v>100000</x:v>
      </x:c>
      <x:c r="J256" s="806">
        <x:f t="shared" si="52"/>
        <x:v>-800000</x:v>
      </x:c>
      <x:c r="K256" s="805">
        <x:f t="shared" si="52"/>
        <x:v>0</x:v>
      </x:c>
      <x:c r="L256" s="804">
        <x:f t="shared" si="52"/>
        <x:v>800000</x:v>
      </x:c>
      <x:c r="M256" s="830" t="s">
        <x:v>1374</x:v>
      </x:c>
    </x:row>
    <x:row r="257" spans="1:13" s="689" customFormat="1" ht="21" customHeight="1">
      <x:c r="A257" s="841" t="s">
        <x:v>1376</x:v>
      </x:c>
      <x:c r="B257" s="840" t="s">
        <x:v>1295</x:v>
      </x:c>
      <x:c r="C257" s="788">
        <x:v>34641000</x:v>
      </x:c>
      <x:c r="D257" s="786">
        <x:v>0</x:v>
      </x:c>
      <x:c r="E257" s="785">
        <x:v>0</x:v>
      </x:c>
      <x:c r="F257" s="784">
        <x:v>0</x:v>
      </x:c>
      <x:c r="G257" s="786">
        <x:v>100000</x:v>
      </x:c>
      <x:c r="H257" s="785">
        <x:v>0</x:v>
      </x:c>
      <x:c r="I257" s="784">
        <x:v>100000</x:v>
      </x:c>
      <x:c r="J257" s="786">
        <x:v>1000000</x:v>
      </x:c>
      <x:c r="K257" s="785">
        <x:v>0</x:v>
      </x:c>
      <x:c r="L257" s="784">
        <x:v>33541000</x:v>
      </x:c>
      <x:c r="M257" s="839" t="s">
        <x:v>1668</x:v>
      </x:c>
    </x:row>
    <x:row r="258" spans="1:13" s="689" customFormat="1" ht="21" customHeight="1">
      <x:c r="A258" s="834" t="s">
        <x:v>5</x:v>
      </x:c>
      <x:c r="B258" s="709" t="s">
        <x:v>117</x:v>
      </x:c>
      <x:c r="C258" s="676">
        <x:v>33179000</x:v>
      </x:c>
      <x:c r="D258" s="674">
        <x:v>0</x:v>
      </x:c>
      <x:c r="E258" s="659">
        <x:v>0</x:v>
      </x:c>
      <x:c r="F258" s="672">
        <x:v>0</x:v>
      </x:c>
      <x:c r="G258" s="674">
        <x:v>90000</x:v>
      </x:c>
      <x:c r="H258" s="673">
        <x:v>0</x:v>
      </x:c>
      <x:c r="I258" s="672">
        <x:v>90000</x:v>
      </x:c>
      <x:c r="J258" s="660">
        <x:v>1000000</x:v>
      </x:c>
      <x:c r="K258" s="659">
        <x:v>0</x:v>
      </x:c>
      <x:c r="L258" s="658">
        <x:v>32089000</x:v>
      </x:c>
      <x:c r="M258" s="833" t="s">
        <x:v>1720</x:v>
      </x:c>
    </x:row>
    <x:row r="259" spans="1:13" s="689" customFormat="1" ht="21" customHeight="1">
      <x:c r="A259" s="834" t="s">
        <x:v>1724</x:v>
      </x:c>
      <x:c r="B259" s="709" t="s">
        <x:v>148</x:v>
      </x:c>
      <x:c r="C259" s="661">
        <x:v>1414000</x:v>
      </x:c>
      <x:c r="D259" s="660">
        <x:v>0</x:v>
      </x:c>
      <x:c r="E259" s="659">
        <x:v>0</x:v>
      </x:c>
      <x:c r="F259" s="658">
        <x:v>0</x:v>
      </x:c>
      <x:c r="G259" s="660">
        <x:v>0</x:v>
      </x:c>
      <x:c r="H259" s="659">
        <x:v>0</x:v>
      </x:c>
      <x:c r="I259" s="658">
        <x:v>0</x:v>
      </x:c>
      <x:c r="J259" s="660">
        <x:v>0</x:v>
      </x:c>
      <x:c r="K259" s="659">
        <x:v>0</x:v>
      </x:c>
      <x:c r="L259" s="658">
        <x:v>1414000</x:v>
      </x:c>
      <x:c r="M259" s="833"/>
    </x:row>
    <x:row r="260" spans="1:13" s="689" customFormat="1" ht="21" customHeight="1">
      <x:c r="A260" s="834" t="s">
        <x:v>1723</x:v>
      </x:c>
      <x:c r="B260" s="838" t="s">
        <x:v>646</x:v>
      </x:c>
      <x:c r="C260" s="844">
        <x:v>48000</x:v>
      </x:c>
      <x:c r="D260" s="836">
        <x:v>0</x:v>
      </x:c>
      <x:c r="E260" s="659">
        <x:v>0</x:v>
      </x:c>
      <x:c r="F260" s="843">
        <x:v>0</x:v>
      </x:c>
      <x:c r="G260" s="836">
        <x:v>10000</x:v>
      </x:c>
      <x:c r="H260" s="837">
        <x:v>0</x:v>
      </x:c>
      <x:c r="I260" s="843">
        <x:v>10000</x:v>
      </x:c>
      <x:c r="J260" s="660">
        <x:v>0</x:v>
      </x:c>
      <x:c r="K260" s="659">
        <x:v>0</x:v>
      </x:c>
      <x:c r="L260" s="658">
        <x:v>38000</x:v>
      </x:c>
      <x:c r="M260" s="833"/>
    </x:row>
    <x:row r="261" spans="1:13" s="689" customFormat="1" ht="21" customHeight="1">
      <x:c r="A261" s="834" t="s">
        <x:v>1860</x:v>
      </x:c>
      <x:c r="B261" s="669" t="s">
        <x:v>1294</x:v>
      </x:c>
      <x:c r="C261" s="668">
        <x:f>D261+G261+J261+K261+L261</x:f>
        <x:v>34641000</x:v>
      </x:c>
      <x:c r="D261" s="666">
        <x:f t="shared" ref="D261:L261" si="53">D262+D263+D264</x:f>
        <x:v>0</x:v>
      </x:c>
      <x:c r="E261" s="665">
        <x:f t="shared" si="53"/>
        <x:v>0</x:v>
      </x:c>
      <x:c r="F261" s="664">
        <x:f t="shared" si="53"/>
        <x:v>0</x:v>
      </x:c>
      <x:c r="G261" s="666">
        <x:f t="shared" si="53"/>
        <x:v>100000</x:v>
      </x:c>
      <x:c r="H261" s="665">
        <x:f t="shared" si="53"/>
        <x:v>0</x:v>
      </x:c>
      <x:c r="I261" s="664">
        <x:f t="shared" si="53"/>
        <x:v>100000</x:v>
      </x:c>
      <x:c r="J261" s="666">
        <x:f t="shared" si="53"/>
        <x:v>200000</x:v>
      </x:c>
      <x:c r="K261" s="665">
        <x:f t="shared" si="53"/>
        <x:v>0</x:v>
      </x:c>
      <x:c r="L261" s="664">
        <x:f t="shared" si="53"/>
        <x:v>34341000</x:v>
      </x:c>
      <x:c r="M261" s="833"/>
    </x:row>
    <x:row r="262" spans="1:13" s="689" customFormat="1" ht="21" customHeight="1">
      <x:c r="A262" s="834"/>
      <x:c r="B262" s="709" t="s">
        <x:v>117</x:v>
      </x:c>
      <x:c r="C262" s="661">
        <x:f>D262+G262+J262+K262+L262</x:f>
        <x:v>33179000</x:v>
      </x:c>
      <x:c r="D262" s="660">
        <x:v>0</x:v>
      </x:c>
      <x:c r="E262" s="659">
        <x:v>0</x:v>
      </x:c>
      <x:c r="F262" s="658">
        <x:v>0</x:v>
      </x:c>
      <x:c r="G262" s="660">
        <x:v>90000</x:v>
      </x:c>
      <x:c r="H262" s="659">
        <x:v>0</x:v>
      </x:c>
      <x:c r="I262" s="658">
        <x:f>G262-H262</x:f>
        <x:v>90000</x:v>
      </x:c>
      <x:c r="J262" s="660">
        <x:v>200000</x:v>
      </x:c>
      <x:c r="K262" s="659">
        <x:v>0</x:v>
      </x:c>
      <x:c r="L262" s="658">
        <x:f>32089000+800000</x:f>
        <x:v>32889000</x:v>
      </x:c>
      <x:c r="M262" s="651"/>
    </x:row>
    <x:row r="263" spans="1:13" s="689" customFormat="1" ht="21" customHeight="1">
      <x:c r="A263" s="835" t="s">
        <x:v>454</x:v>
      </x:c>
      <x:c r="B263" s="709" t="s">
        <x:v>148</x:v>
      </x:c>
      <x:c r="C263" s="661">
        <x:f>D263+G263+J263+K263+L263</x:f>
        <x:v>1414000</x:v>
      </x:c>
      <x:c r="D263" s="660">
        <x:v>0</x:v>
      </x:c>
      <x:c r="E263" s="659">
        <x:v>0</x:v>
      </x:c>
      <x:c r="F263" s="658">
        <x:v>0</x:v>
      </x:c>
      <x:c r="G263" s="660">
        <x:v>0</x:v>
      </x:c>
      <x:c r="H263" s="659">
        <x:v>0</x:v>
      </x:c>
      <x:c r="I263" s="658">
        <x:f>G263-H263</x:f>
        <x:v>0</x:v>
      </x:c>
      <x:c r="J263" s="660"/>
      <x:c r="K263" s="659">
        <x:v>0</x:v>
      </x:c>
      <x:c r="L263" s="658">
        <x:v>1414000</x:v>
      </x:c>
      <x:c r="M263" s="651"/>
    </x:row>
    <x:row r="264" spans="1:13" s="689" customFormat="1" ht="21" customHeight="1">
      <x:c r="A264" s="834"/>
      <x:c r="B264" s="842" t="s">
        <x:v>646</x:v>
      </x:c>
      <x:c r="C264" s="661">
        <x:f>D264+G264+J264+K264+L264</x:f>
        <x:v>48000</x:v>
      </x:c>
      <x:c r="D264" s="660">
        <x:v>0</x:v>
      </x:c>
      <x:c r="E264" s="837">
        <x:v>0</x:v>
      </x:c>
      <x:c r="F264" s="658">
        <x:v>0</x:v>
      </x:c>
      <x:c r="G264" s="836">
        <x:v>10000</x:v>
      </x:c>
      <x:c r="H264" s="659">
        <x:v>0</x:v>
      </x:c>
      <x:c r="I264" s="658">
        <x:f>G264-H264</x:f>
        <x:v>10000</x:v>
      </x:c>
      <x:c r="J264" s="660"/>
      <x:c r="K264" s="659">
        <x:v>0</x:v>
      </x:c>
      <x:c r="L264" s="658">
        <x:v>38000</x:v>
      </x:c>
      <x:c r="M264" s="833"/>
    </x:row>
    <x:row r="265" spans="1:13" s="689" customFormat="1" ht="21" customHeight="1">
      <x:c r="A265" s="832"/>
      <x:c r="B265" s="831" t="s">
        <x:v>456</x:v>
      </x:c>
      <x:c r="C265" s="807">
        <x:f t="shared" ref="C265:L265" si="54">C261-C257</x:f>
        <x:v>0</x:v>
      </x:c>
      <x:c r="D265" s="806">
        <x:f t="shared" si="54"/>
        <x:v>0</x:v>
      </x:c>
      <x:c r="E265" s="805">
        <x:f t="shared" si="54"/>
        <x:v>0</x:v>
      </x:c>
      <x:c r="F265" s="804">
        <x:f t="shared" si="54"/>
        <x:v>0</x:v>
      </x:c>
      <x:c r="G265" s="806">
        <x:f t="shared" si="54"/>
        <x:v>0</x:v>
      </x:c>
      <x:c r="H265" s="805">
        <x:f t="shared" si="54"/>
        <x:v>0</x:v>
      </x:c>
      <x:c r="I265" s="804">
        <x:f t="shared" si="54"/>
        <x:v>0</x:v>
      </x:c>
      <x:c r="J265" s="806">
        <x:f t="shared" si="54"/>
        <x:v>-800000</x:v>
      </x:c>
      <x:c r="K265" s="805">
        <x:f t="shared" si="54"/>
        <x:v>0</x:v>
      </x:c>
      <x:c r="L265" s="804">
        <x:f t="shared" si="54"/>
        <x:v>800000</x:v>
      </x:c>
      <x:c r="M265" s="830" t="s">
        <x:v>1374</x:v>
      </x:c>
    </x:row>
    <x:row r="266" spans="1:13" s="689" customFormat="1" ht="21" customHeight="1">
      <x:c r="A266" s="841" t="s">
        <x:v>1862</x:v>
      </x:c>
      <x:c r="B266" s="840" t="s">
        <x:v>1295</x:v>
      </x:c>
      <x:c r="C266" s="788">
        <x:v>19930000</x:v>
      </x:c>
      <x:c r="D266" s="786">
        <x:v>0</x:v>
      </x:c>
      <x:c r="E266" s="785">
        <x:v>0</x:v>
      </x:c>
      <x:c r="F266" s="784">
        <x:v>0</x:v>
      </x:c>
      <x:c r="G266" s="786">
        <x:v>0</x:v>
      </x:c>
      <x:c r="H266" s="785">
        <x:v>0</x:v>
      </x:c>
      <x:c r="I266" s="784">
        <x:v>0</x:v>
      </x:c>
      <x:c r="J266" s="786">
        <x:v>1000000</x:v>
      </x:c>
      <x:c r="K266" s="785">
        <x:v>0</x:v>
      </x:c>
      <x:c r="L266" s="784">
        <x:v>18930000</x:v>
      </x:c>
      <x:c r="M266" s="839" t="s">
        <x:v>1668</x:v>
      </x:c>
    </x:row>
    <x:row r="267" spans="1:13" s="689" customFormat="1" ht="21" customHeight="1">
      <x:c r="A267" s="834" t="s">
        <x:v>1726</x:v>
      </x:c>
      <x:c r="B267" s="709" t="s">
        <x:v>117</x:v>
      </x:c>
      <x:c r="C267" s="661">
        <x:v>18993000</x:v>
      </x:c>
      <x:c r="D267" s="660">
        <x:v>0</x:v>
      </x:c>
      <x:c r="E267" s="659">
        <x:v>0</x:v>
      </x:c>
      <x:c r="F267" s="658">
        <x:v>0</x:v>
      </x:c>
      <x:c r="G267" s="660">
        <x:v>0</x:v>
      </x:c>
      <x:c r="H267" s="659">
        <x:v>0</x:v>
      </x:c>
      <x:c r="I267" s="658">
        <x:v>0</x:v>
      </x:c>
      <x:c r="J267" s="660">
        <x:v>970000</x:v>
      </x:c>
      <x:c r="K267" s="659">
        <x:v>0</x:v>
      </x:c>
      <x:c r="L267" s="658">
        <x:v>18023000</x:v>
      </x:c>
      <x:c r="M267" s="833" t="s">
        <x:v>1720</x:v>
      </x:c>
    </x:row>
    <x:row r="268" spans="1:13" s="689" customFormat="1" ht="21" customHeight="1">
      <x:c r="A268" s="834" t="s">
        <x:v>1849</x:v>
      </x:c>
      <x:c r="B268" s="709" t="s">
        <x:v>148</x:v>
      </x:c>
      <x:c r="C268" s="661">
        <x:v>910000</x:v>
      </x:c>
      <x:c r="D268" s="660">
        <x:v>0</x:v>
      </x:c>
      <x:c r="E268" s="659">
        <x:v>0</x:v>
      </x:c>
      <x:c r="F268" s="658">
        <x:v>0</x:v>
      </x:c>
      <x:c r="G268" s="660">
        <x:v>0</x:v>
      </x:c>
      <x:c r="H268" s="659">
        <x:v>0</x:v>
      </x:c>
      <x:c r="I268" s="658">
        <x:v>0</x:v>
      </x:c>
      <x:c r="J268" s="660"/>
      <x:c r="K268" s="659">
        <x:v>0</x:v>
      </x:c>
      <x:c r="L268" s="658">
        <x:v>910000</x:v>
      </x:c>
      <x:c r="M268" s="833"/>
    </x:row>
    <x:row r="269" spans="1:13" s="689" customFormat="1" ht="21" customHeight="1">
      <x:c r="A269" s="834" t="s">
        <x:v>1727</x:v>
      </x:c>
      <x:c r="B269" s="838" t="s">
        <x:v>646</x:v>
      </x:c>
      <x:c r="C269" s="661">
        <x:v>27000</x:v>
      </x:c>
      <x:c r="D269" s="660">
        <x:v>0</x:v>
      </x:c>
      <x:c r="E269" s="837">
        <x:v>0</x:v>
      </x:c>
      <x:c r="F269" s="658">
        <x:v>0</x:v>
      </x:c>
      <x:c r="G269" s="660">
        <x:v>0</x:v>
      </x:c>
      <x:c r="H269" s="659">
        <x:v>0</x:v>
      </x:c>
      <x:c r="I269" s="658">
        <x:v>0</x:v>
      </x:c>
      <x:c r="J269" s="660">
        <x:v>30000</x:v>
      </x:c>
      <x:c r="K269" s="659">
        <x:v>0</x:v>
      </x:c>
      <x:c r="L269" s="658">
        <x:v>-3000</x:v>
      </x:c>
      <x:c r="M269" s="833"/>
    </x:row>
    <x:row r="270" spans="1:13" s="689" customFormat="1" ht="21" customHeight="1">
      <x:c r="A270" s="834" t="s">
        <x:v>1839</x:v>
      </x:c>
      <x:c r="B270" s="669" t="s">
        <x:v>1294</x:v>
      </x:c>
      <x:c r="C270" s="668">
        <x:f>D270+G270+J270+K270+L270</x:f>
        <x:v>19930000</x:v>
      </x:c>
      <x:c r="D270" s="666">
        <x:f t="shared" ref="D270:L270" si="55">D271+D272+D273</x:f>
        <x:v>0</x:v>
      </x:c>
      <x:c r="E270" s="665">
        <x:f t="shared" si="55"/>
        <x:v>0</x:v>
      </x:c>
      <x:c r="F270" s="664">
        <x:f t="shared" si="55"/>
        <x:v>0</x:v>
      </x:c>
      <x:c r="G270" s="666">
        <x:f t="shared" si="55"/>
        <x:v>0</x:v>
      </x:c>
      <x:c r="H270" s="665">
        <x:f t="shared" si="55"/>
        <x:v>0</x:v>
      </x:c>
      <x:c r="I270" s="664">
        <x:f t="shared" si="55"/>
        <x:v>0</x:v>
      </x:c>
      <x:c r="J270" s="666">
        <x:f t="shared" si="55"/>
        <x:v>230000</x:v>
      </x:c>
      <x:c r="K270" s="665">
        <x:f t="shared" si="55"/>
        <x:v>0</x:v>
      </x:c>
      <x:c r="L270" s="664">
        <x:f t="shared" si="55"/>
        <x:v>19700000</x:v>
      </x:c>
      <x:c r="M270" s="833"/>
    </x:row>
    <x:row r="271" spans="1:13" s="689" customFormat="1" ht="21" customHeight="1">
      <x:c r="A271" s="834"/>
      <x:c r="B271" s="709" t="s">
        <x:v>117</x:v>
      </x:c>
      <x:c r="C271" s="661">
        <x:f>D271+G271+J271+K271+L271</x:f>
        <x:v>18993000</x:v>
      </x:c>
      <x:c r="D271" s="660">
        <x:v>0</x:v>
      </x:c>
      <x:c r="E271" s="659">
        <x:v>0</x:v>
      </x:c>
      <x:c r="F271" s="658">
        <x:v>0</x:v>
      </x:c>
      <x:c r="G271" s="660">
        <x:v>0</x:v>
      </x:c>
      <x:c r="H271" s="659">
        <x:v>0</x:v>
      </x:c>
      <x:c r="I271" s="658">
        <x:f>G271-H271</x:f>
        <x:v>0</x:v>
      </x:c>
      <x:c r="J271" s="660">
        <x:v>200000</x:v>
      </x:c>
      <x:c r="K271" s="659">
        <x:v>0</x:v>
      </x:c>
      <x:c r="L271" s="658">
        <x:f>18023000+770000</x:f>
        <x:v>18793000</x:v>
      </x:c>
      <x:c r="M271" s="651"/>
    </x:row>
    <x:row r="272" spans="1:13" s="689" customFormat="1" ht="21" customHeight="1">
      <x:c r="A272" s="835" t="s">
        <x:v>454</x:v>
      </x:c>
      <x:c r="B272" s="709" t="s">
        <x:v>148</x:v>
      </x:c>
      <x:c r="C272" s="661">
        <x:f>D272+G272+J272+K272+L272</x:f>
        <x:v>910000</x:v>
      </x:c>
      <x:c r="D272" s="660">
        <x:v>0</x:v>
      </x:c>
      <x:c r="E272" s="659">
        <x:v>0</x:v>
      </x:c>
      <x:c r="F272" s="658">
        <x:v>0</x:v>
      </x:c>
      <x:c r="G272" s="660">
        <x:v>0</x:v>
      </x:c>
      <x:c r="H272" s="659">
        <x:v>0</x:v>
      </x:c>
      <x:c r="I272" s="658">
        <x:f>G272-H272</x:f>
        <x:v>0</x:v>
      </x:c>
      <x:c r="J272" s="660">
        <x:v>0</x:v>
      </x:c>
      <x:c r="K272" s="659">
        <x:v>0</x:v>
      </x:c>
      <x:c r="L272" s="658">
        <x:v>910000</x:v>
      </x:c>
      <x:c r="M272" s="651"/>
    </x:row>
    <x:row r="273" spans="1:13" s="689" customFormat="1" ht="21" customHeight="1">
      <x:c r="A273" s="834"/>
      <x:c r="B273" s="842" t="s">
        <x:v>646</x:v>
      </x:c>
      <x:c r="C273" s="661">
        <x:f>D273+G273+J273+K273+L273</x:f>
        <x:v>27000</x:v>
      </x:c>
      <x:c r="D273" s="660">
        <x:v>0</x:v>
      </x:c>
      <x:c r="E273" s="837">
        <x:v>0</x:v>
      </x:c>
      <x:c r="F273" s="658">
        <x:v>0</x:v>
      </x:c>
      <x:c r="G273" s="836">
        <x:v>0</x:v>
      </x:c>
      <x:c r="H273" s="659">
        <x:v>0</x:v>
      </x:c>
      <x:c r="I273" s="658">
        <x:f>G273-H273</x:f>
        <x:v>0</x:v>
      </x:c>
      <x:c r="J273" s="660">
        <x:v>30000</x:v>
      </x:c>
      <x:c r="K273" s="659">
        <x:v>0</x:v>
      </x:c>
      <x:c r="L273" s="658">
        <x:v>-3000</x:v>
      </x:c>
      <x:c r="M273" s="833"/>
    </x:row>
    <x:row r="274" spans="1:13" s="689" customFormat="1" ht="21" customHeight="1">
      <x:c r="A274" s="832"/>
      <x:c r="B274" s="831" t="s">
        <x:v>456</x:v>
      </x:c>
      <x:c r="C274" s="807">
        <x:f t="shared" ref="C274:L274" si="56">C270-C266</x:f>
        <x:v>0</x:v>
      </x:c>
      <x:c r="D274" s="806">
        <x:f t="shared" si="56"/>
        <x:v>0</x:v>
      </x:c>
      <x:c r="E274" s="805">
        <x:f t="shared" si="56"/>
        <x:v>0</x:v>
      </x:c>
      <x:c r="F274" s="804">
        <x:f t="shared" si="56"/>
        <x:v>0</x:v>
      </x:c>
      <x:c r="G274" s="806">
        <x:f t="shared" si="56"/>
        <x:v>0</x:v>
      </x:c>
      <x:c r="H274" s="805">
        <x:f t="shared" si="56"/>
        <x:v>0</x:v>
      </x:c>
      <x:c r="I274" s="804">
        <x:f t="shared" si="56"/>
        <x:v>0</x:v>
      </x:c>
      <x:c r="J274" s="806">
        <x:f t="shared" si="56"/>
        <x:v>-770000</x:v>
      </x:c>
      <x:c r="K274" s="805">
        <x:f t="shared" si="56"/>
        <x:v>0</x:v>
      </x:c>
      <x:c r="L274" s="804">
        <x:f t="shared" si="56"/>
        <x:v>770000</x:v>
      </x:c>
      <x:c r="M274" s="830" t="s">
        <x:v>1374</x:v>
      </x:c>
    </x:row>
    <x:row r="275" spans="1:13" s="689" customFormat="1" ht="21" customHeight="1">
      <x:c r="A275" s="841" t="s">
        <x:v>1845</x:v>
      </x:c>
      <x:c r="B275" s="840" t="s">
        <x:v>1295</x:v>
      </x:c>
      <x:c r="C275" s="788">
        <x:v>23000000</x:v>
      </x:c>
      <x:c r="D275" s="786">
        <x:v>100000</x:v>
      </x:c>
      <x:c r="E275" s="785">
        <x:v>1460</x:v>
      </x:c>
      <x:c r="F275" s="784">
        <x:v>98540</x:v>
      </x:c>
      <x:c r="G275" s="786">
        <x:v>500000</x:v>
      </x:c>
      <x:c r="H275" s="785">
        <x:v>0</x:v>
      </x:c>
      <x:c r="I275" s="784">
        <x:v>500000</x:v>
      </x:c>
      <x:c r="J275" s="786">
        <x:v>750000</x:v>
      </x:c>
      <x:c r="K275" s="785">
        <x:v>0</x:v>
      </x:c>
      <x:c r="L275" s="784">
        <x:v>21650000</x:v>
      </x:c>
      <x:c r="M275" s="839" t="s">
        <x:v>1668</x:v>
      </x:c>
    </x:row>
    <x:row r="276" spans="1:13" s="689" customFormat="1" ht="21" customHeight="1">
      <x:c r="A276" s="834" t="s">
        <x:v>1721</x:v>
      </x:c>
      <x:c r="B276" s="709" t="s">
        <x:v>117</x:v>
      </x:c>
      <x:c r="C276" s="676">
        <x:v>22345000</x:v>
      </x:c>
      <x:c r="D276" s="674">
        <x:v>90000</x:v>
      </x:c>
      <x:c r="E276" s="659">
        <x:v>0</x:v>
      </x:c>
      <x:c r="F276" s="672">
        <x:v>90000</x:v>
      </x:c>
      <x:c r="G276" s="660">
        <x:v>500000</x:v>
      </x:c>
      <x:c r="H276" s="659">
        <x:v>0</x:v>
      </x:c>
      <x:c r="I276" s="658">
        <x:v>500000</x:v>
      </x:c>
      <x:c r="J276" s="660">
        <x:v>750000</x:v>
      </x:c>
      <x:c r="K276" s="659">
        <x:v>0</x:v>
      </x:c>
      <x:c r="L276" s="658">
        <x:v>21005000</x:v>
      </x:c>
      <x:c r="M276" s="833" t="s">
        <x:v>1720</x:v>
      </x:c>
    </x:row>
    <x:row r="277" spans="1:13" s="689" customFormat="1" ht="21" customHeight="1">
      <x:c r="A277" s="834" t="s">
        <x:v>1846</x:v>
      </x:c>
      <x:c r="B277" s="709" t="s">
        <x:v>148</x:v>
      </x:c>
      <x:c r="C277" s="661">
        <x:v>634000</x:v>
      </x:c>
      <x:c r="D277" s="660">
        <x:v>0</x:v>
      </x:c>
      <x:c r="E277" s="659">
        <x:v>0</x:v>
      </x:c>
      <x:c r="F277" s="658">
        <x:v>0</x:v>
      </x:c>
      <x:c r="G277" s="660">
        <x:v>0</x:v>
      </x:c>
      <x:c r="H277" s="659">
        <x:v>0</x:v>
      </x:c>
      <x:c r="I277" s="658">
        <x:v>0</x:v>
      </x:c>
      <x:c r="J277" s="660">
        <x:v>0</x:v>
      </x:c>
      <x:c r="K277" s="659">
        <x:v>0</x:v>
      </x:c>
      <x:c r="L277" s="658">
        <x:v>634000</x:v>
      </x:c>
      <x:c r="M277" s="833"/>
    </x:row>
    <x:row r="278" spans="1:13" s="689" customFormat="1" ht="21" customHeight="1">
      <x:c r="A278" s="834" t="s">
        <x:v>1722</x:v>
      </x:c>
      <x:c r="B278" s="838" t="s">
        <x:v>646</x:v>
      </x:c>
      <x:c r="C278" s="661">
        <x:v>21000</x:v>
      </x:c>
      <x:c r="D278" s="660">
        <x:v>10000</x:v>
      </x:c>
      <x:c r="E278" s="837">
        <x:v>1460</x:v>
      </x:c>
      <x:c r="F278" s="843">
        <x:v>8540</x:v>
      </x:c>
      <x:c r="G278" s="660">
        <x:v>0</x:v>
      </x:c>
      <x:c r="H278" s="659">
        <x:v>0</x:v>
      </x:c>
      <x:c r="I278" s="658">
        <x:v>0</x:v>
      </x:c>
      <x:c r="J278" s="660">
        <x:v>0</x:v>
      </x:c>
      <x:c r="K278" s="659">
        <x:v>0</x:v>
      </x:c>
      <x:c r="L278" s="658">
        <x:v>11000</x:v>
      </x:c>
      <x:c r="M278" s="833"/>
    </x:row>
    <x:row r="279" spans="1:13" s="689" customFormat="1" ht="21" customHeight="1">
      <x:c r="A279" s="834" t="s">
        <x:v>1843</x:v>
      </x:c>
      <x:c r="B279" s="669" t="s">
        <x:v>1294</x:v>
      </x:c>
      <x:c r="C279" s="668">
        <x:f>D279+G279+J279+K279+L279</x:f>
        <x:v>23000000</x:v>
      </x:c>
      <x:c r="D279" s="666">
        <x:f t="shared" ref="D279:L279" si="57">D280+D281+D282</x:f>
        <x:v>100000</x:v>
      </x:c>
      <x:c r="E279" s="665">
        <x:f t="shared" si="57"/>
        <x:v>1460</x:v>
      </x:c>
      <x:c r="F279" s="664">
        <x:f t="shared" si="57"/>
        <x:v>98540</x:v>
      </x:c>
      <x:c r="G279" s="666">
        <x:f t="shared" si="57"/>
        <x:v>500000</x:v>
      </x:c>
      <x:c r="H279" s="665">
        <x:f t="shared" si="57"/>
        <x:v>304494</x:v>
      </x:c>
      <x:c r="I279" s="664">
        <x:f t="shared" si="57"/>
        <x:v>195506</x:v>
      </x:c>
      <x:c r="J279" s="666">
        <x:f t="shared" si="57"/>
        <x:v>600000</x:v>
      </x:c>
      <x:c r="K279" s="665">
        <x:f t="shared" si="57"/>
        <x:v>0</x:v>
      </x:c>
      <x:c r="L279" s="664">
        <x:f t="shared" si="57"/>
        <x:v>21800000</x:v>
      </x:c>
      <x:c r="M279" s="833"/>
    </x:row>
    <x:row r="280" spans="1:13" s="689" customFormat="1" ht="21" customHeight="1">
      <x:c r="A280" s="834"/>
      <x:c r="B280" s="709" t="s">
        <x:v>117</x:v>
      </x:c>
      <x:c r="C280" s="661">
        <x:f>D280+G280+J280+K280+L280</x:f>
        <x:v>22345000</x:v>
      </x:c>
      <x:c r="D280" s="660">
        <x:v>90000</x:v>
      </x:c>
      <x:c r="E280" s="659">
        <x:v>0</x:v>
      </x:c>
      <x:c r="F280" s="658">
        <x:v>90000</x:v>
      </x:c>
      <x:c r="G280" s="660">
        <x:v>500000</x:v>
      </x:c>
      <x:c r="H280" s="659">
        <x:v>304494</x:v>
      </x:c>
      <x:c r="I280" s="658">
        <x:f>G280-H280</x:f>
        <x:v>195506</x:v>
      </x:c>
      <x:c r="J280" s="660">
        <x:v>600000</x:v>
      </x:c>
      <x:c r="K280" s="659">
        <x:v>0</x:v>
      </x:c>
      <x:c r="L280" s="658">
        <x:f>21005000+150000</x:f>
        <x:v>21155000</x:v>
      </x:c>
      <x:c r="M280" s="651"/>
    </x:row>
    <x:row r="281" spans="1:13" s="689" customFormat="1" ht="21" customHeight="1">
      <x:c r="A281" s="835" t="s">
        <x:v>454</x:v>
      </x:c>
      <x:c r="B281" s="709" t="s">
        <x:v>148</x:v>
      </x:c>
      <x:c r="C281" s="661">
        <x:f>D281+G281+J281+K281+L281</x:f>
        <x:v>634000</x:v>
      </x:c>
      <x:c r="D281" s="660">
        <x:v>0</x:v>
      </x:c>
      <x:c r="E281" s="659">
        <x:v>0</x:v>
      </x:c>
      <x:c r="F281" s="658">
        <x:v>0</x:v>
      </x:c>
      <x:c r="G281" s="660">
        <x:v>0</x:v>
      </x:c>
      <x:c r="H281" s="659">
        <x:v>0</x:v>
      </x:c>
      <x:c r="I281" s="658">
        <x:f>G281-H281</x:f>
        <x:v>0</x:v>
      </x:c>
      <x:c r="J281" s="660">
        <x:v>0</x:v>
      </x:c>
      <x:c r="K281" s="659">
        <x:v>0</x:v>
      </x:c>
      <x:c r="L281" s="658">
        <x:v>634000</x:v>
      </x:c>
      <x:c r="M281" s="651"/>
    </x:row>
    <x:row r="282" spans="1:13" s="689" customFormat="1" ht="21" customHeight="1">
      <x:c r="A282" s="834"/>
      <x:c r="B282" s="842" t="s">
        <x:v>646</x:v>
      </x:c>
      <x:c r="C282" s="661">
        <x:f>D282+G282+J282+K282+L282</x:f>
        <x:v>21000</x:v>
      </x:c>
      <x:c r="D282" s="660">
        <x:v>10000</x:v>
      </x:c>
      <x:c r="E282" s="837">
        <x:v>1460</x:v>
      </x:c>
      <x:c r="F282" s="658">
        <x:v>8540</x:v>
      </x:c>
      <x:c r="G282" s="836">
        <x:v>0</x:v>
      </x:c>
      <x:c r="H282" s="659">
        <x:v>0</x:v>
      </x:c>
      <x:c r="I282" s="658">
        <x:f>G282-H282</x:f>
        <x:v>0</x:v>
      </x:c>
      <x:c r="J282" s="660">
        <x:v>0</x:v>
      </x:c>
      <x:c r="K282" s="659">
        <x:v>0</x:v>
      </x:c>
      <x:c r="L282" s="658">
        <x:v>11000</x:v>
      </x:c>
      <x:c r="M282" s="833"/>
    </x:row>
    <x:row r="283" spans="1:13" s="689" customFormat="1" ht="21" customHeight="1">
      <x:c r="A283" s="832"/>
      <x:c r="B283" s="831" t="s">
        <x:v>456</x:v>
      </x:c>
      <x:c r="C283" s="807">
        <x:f t="shared" ref="C283:L283" si="58">C279-C275</x:f>
        <x:v>0</x:v>
      </x:c>
      <x:c r="D283" s="806">
        <x:f t="shared" si="58"/>
        <x:v>0</x:v>
      </x:c>
      <x:c r="E283" s="805">
        <x:f t="shared" si="58"/>
        <x:v>0</x:v>
      </x:c>
      <x:c r="F283" s="804">
        <x:f t="shared" si="58"/>
        <x:v>0</x:v>
      </x:c>
      <x:c r="G283" s="806">
        <x:f t="shared" si="58"/>
        <x:v>0</x:v>
      </x:c>
      <x:c r="H283" s="805">
        <x:f t="shared" si="58"/>
        <x:v>304494</x:v>
      </x:c>
      <x:c r="I283" s="804">
        <x:f t="shared" si="58"/>
        <x:v>-304494</x:v>
      </x:c>
      <x:c r="J283" s="806">
        <x:f t="shared" si="58"/>
        <x:v>-150000</x:v>
      </x:c>
      <x:c r="K283" s="805">
        <x:f t="shared" si="58"/>
        <x:v>0</x:v>
      </x:c>
      <x:c r="L283" s="804">
        <x:f t="shared" si="58"/>
        <x:v>150000</x:v>
      </x:c>
      <x:c r="M283" s="830" t="s">
        <x:v>1374</x:v>
      </x:c>
    </x:row>
    <x:row r="284" spans="1:13" s="689" customFormat="1" ht="21" customHeight="1">
      <x:c r="A284" s="841" t="s">
        <x:v>1842</x:v>
      </x:c>
      <x:c r="B284" s="840" t="s">
        <x:v>1295</x:v>
      </x:c>
      <x:c r="C284" s="788">
        <x:v>28365000</x:v>
      </x:c>
      <x:c r="D284" s="786">
        <x:v>0</x:v>
      </x:c>
      <x:c r="E284" s="785">
        <x:v>0</x:v>
      </x:c>
      <x:c r="F284" s="784">
        <x:v>0</x:v>
      </x:c>
      <x:c r="G284" s="786">
        <x:v>0</x:v>
      </x:c>
      <x:c r="H284" s="785">
        <x:v>0</x:v>
      </x:c>
      <x:c r="I284" s="784">
        <x:v>0</x:v>
      </x:c>
      <x:c r="J284" s="786">
        <x:v>200000</x:v>
      </x:c>
      <x:c r="K284" s="785">
        <x:v>0</x:v>
      </x:c>
      <x:c r="L284" s="784">
        <x:v>28165000</x:v>
      </x:c>
      <x:c r="M284" s="839" t="s">
        <x:v>1668</x:v>
      </x:c>
    </x:row>
    <x:row r="285" spans="1:13" s="689" customFormat="1" ht="21" customHeight="1">
      <x:c r="A285" s="834" t="s">
        <x:v>1730</x:v>
      </x:c>
      <x:c r="B285" s="709" t="s">
        <x:v>117</x:v>
      </x:c>
      <x:c r="C285" s="676">
        <x:v>28365000</x:v>
      </x:c>
      <x:c r="D285" s="674">
        <x:v>0</x:v>
      </x:c>
      <x:c r="E285" s="659">
        <x:v>0</x:v>
      </x:c>
      <x:c r="F285" s="658">
        <x:v>0</x:v>
      </x:c>
      <x:c r="G285" s="660">
        <x:v>0</x:v>
      </x:c>
      <x:c r="H285" s="659">
        <x:v>0</x:v>
      </x:c>
      <x:c r="I285" s="658">
        <x:v>0</x:v>
      </x:c>
      <x:c r="J285" s="660">
        <x:v>200000</x:v>
      </x:c>
      <x:c r="K285" s="659">
        <x:v>0</x:v>
      </x:c>
      <x:c r="L285" s="658">
        <x:v>28165000</x:v>
      </x:c>
      <x:c r="M285" s="833" t="s">
        <x:v>1720</x:v>
      </x:c>
    </x:row>
    <x:row r="286" spans="1:13" s="689" customFormat="1" ht="21" customHeight="1">
      <x:c r="A286" s="834" t="s">
        <x:v>1835</x:v>
      </x:c>
      <x:c r="B286" s="709" t="s">
        <x:v>148</x:v>
      </x:c>
      <x:c r="C286" s="661"/>
      <x:c r="D286" s="660">
        <x:v>0</x:v>
      </x:c>
      <x:c r="E286" s="659">
        <x:v>0</x:v>
      </x:c>
      <x:c r="F286" s="658">
        <x:v>0</x:v>
      </x:c>
      <x:c r="G286" s="660">
        <x:v>0</x:v>
      </x:c>
      <x:c r="H286" s="659">
        <x:v>0</x:v>
      </x:c>
      <x:c r="I286" s="658">
        <x:v>0</x:v>
      </x:c>
      <x:c r="J286" s="660">
        <x:v>0</x:v>
      </x:c>
      <x:c r="K286" s="659">
        <x:v>0</x:v>
      </x:c>
      <x:c r="L286" s="658">
        <x:v>0</x:v>
      </x:c>
      <x:c r="M286" s="833"/>
    </x:row>
    <x:row r="287" spans="1:13" s="689" customFormat="1" ht="21" customHeight="1">
      <x:c r="A287" s="834" t="s">
        <x:v>1729</x:v>
      </x:c>
      <x:c r="B287" s="838" t="s">
        <x:v>646</x:v>
      </x:c>
      <x:c r="C287" s="661"/>
      <x:c r="D287" s="660">
        <x:v>0</x:v>
      </x:c>
      <x:c r="E287" s="837">
        <x:v>0</x:v>
      </x:c>
      <x:c r="F287" s="658">
        <x:v>0</x:v>
      </x:c>
      <x:c r="G287" s="660">
        <x:v>0</x:v>
      </x:c>
      <x:c r="H287" s="659">
        <x:v>0</x:v>
      </x:c>
      <x:c r="I287" s="658">
        <x:v>0</x:v>
      </x:c>
      <x:c r="J287" s="660">
        <x:v>0</x:v>
      </x:c>
      <x:c r="K287" s="659">
        <x:v>0</x:v>
      </x:c>
      <x:c r="L287" s="658">
        <x:v>0</x:v>
      </x:c>
      <x:c r="M287" s="833"/>
    </x:row>
    <x:row r="288" spans="1:13" s="689" customFormat="1" ht="21" customHeight="1">
      <x:c r="A288" s="834" t="s">
        <x:v>1839</x:v>
      </x:c>
      <x:c r="B288" s="669" t="s">
        <x:v>1294</x:v>
      </x:c>
      <x:c r="C288" s="668">
        <x:f>D288+G288+J288+K288+L288</x:f>
        <x:v>28365000</x:v>
      </x:c>
      <x:c r="D288" s="666">
        <x:f t="shared" ref="D288:L288" si="59">D289+D290+D291</x:f>
        <x:v>0</x:v>
      </x:c>
      <x:c r="E288" s="665">
        <x:f t="shared" si="59"/>
        <x:v>0</x:v>
      </x:c>
      <x:c r="F288" s="664">
        <x:f t="shared" si="59"/>
        <x:v>0</x:v>
      </x:c>
      <x:c r="G288" s="666">
        <x:f t="shared" si="59"/>
        <x:v>0</x:v>
      </x:c>
      <x:c r="H288" s="665">
        <x:f t="shared" si="59"/>
        <x:v>0</x:v>
      </x:c>
      <x:c r="I288" s="664">
        <x:f t="shared" si="59"/>
        <x:v>0</x:v>
      </x:c>
      <x:c r="J288" s="666">
        <x:f t="shared" si="59"/>
        <x:v>100000</x:v>
      </x:c>
      <x:c r="K288" s="665">
        <x:f t="shared" si="59"/>
        <x:v>0</x:v>
      </x:c>
      <x:c r="L288" s="664">
        <x:f t="shared" si="59"/>
        <x:v>28265000</x:v>
      </x:c>
      <x:c r="M288" s="833"/>
    </x:row>
    <x:row r="289" spans="1:13" s="689" customFormat="1" ht="21" customHeight="1">
      <x:c r="A289" s="834"/>
      <x:c r="B289" s="709" t="s">
        <x:v>117</x:v>
      </x:c>
      <x:c r="C289" s="661">
        <x:f>D289+G289+J289+K289+L289</x:f>
        <x:v>28365000</x:v>
      </x:c>
      <x:c r="D289" s="660">
        <x:v>0</x:v>
      </x:c>
      <x:c r="E289" s="659">
        <x:v>0</x:v>
      </x:c>
      <x:c r="F289" s="658">
        <x:v>0</x:v>
      </x:c>
      <x:c r="G289" s="660">
        <x:v>0</x:v>
      </x:c>
      <x:c r="H289" s="659">
        <x:v>0</x:v>
      </x:c>
      <x:c r="I289" s="658">
        <x:f>G289-H289</x:f>
        <x:v>0</x:v>
      </x:c>
      <x:c r="J289" s="660">
        <x:v>100000</x:v>
      </x:c>
      <x:c r="K289" s="659">
        <x:v>0</x:v>
      </x:c>
      <x:c r="L289" s="658">
        <x:f>28165000+100000</x:f>
        <x:v>28265000</x:v>
      </x:c>
      <x:c r="M289" s="651"/>
    </x:row>
    <x:row r="290" spans="1:13" s="689" customFormat="1" ht="21" customHeight="1">
      <x:c r="A290" s="835" t="s">
        <x:v>454</x:v>
      </x:c>
      <x:c r="B290" s="709" t="s">
        <x:v>148</x:v>
      </x:c>
      <x:c r="C290" s="661">
        <x:f>D290+G290+J290+K290+L290</x:f>
        <x:v>0</x:v>
      </x:c>
      <x:c r="D290" s="660">
        <x:v>0</x:v>
      </x:c>
      <x:c r="E290" s="659">
        <x:v>0</x:v>
      </x:c>
      <x:c r="F290" s="658">
        <x:v>0</x:v>
      </x:c>
      <x:c r="G290" s="660">
        <x:v>0</x:v>
      </x:c>
      <x:c r="H290" s="659">
        <x:v>0</x:v>
      </x:c>
      <x:c r="I290" s="658">
        <x:f>G290-H290</x:f>
        <x:v>0</x:v>
      </x:c>
      <x:c r="J290" s="660">
        <x:v>0</x:v>
      </x:c>
      <x:c r="K290" s="659">
        <x:v>0</x:v>
      </x:c>
      <x:c r="L290" s="658">
        <x:v>0</x:v>
      </x:c>
      <x:c r="M290" s="651"/>
    </x:row>
    <x:row r="291" spans="1:13" s="689" customFormat="1" ht="21" customHeight="1">
      <x:c r="A291" s="834"/>
      <x:c r="B291" s="842" t="s">
        <x:v>646</x:v>
      </x:c>
      <x:c r="C291" s="661">
        <x:f>D291+G291+J291+K291+L291</x:f>
        <x:v>0</x:v>
      </x:c>
      <x:c r="D291" s="660">
        <x:v>0</x:v>
      </x:c>
      <x:c r="E291" s="837">
        <x:v>0</x:v>
      </x:c>
      <x:c r="F291" s="658">
        <x:v>0</x:v>
      </x:c>
      <x:c r="G291" s="836">
        <x:v>0</x:v>
      </x:c>
      <x:c r="H291" s="659">
        <x:v>0</x:v>
      </x:c>
      <x:c r="I291" s="658">
        <x:f>G291-H291</x:f>
        <x:v>0</x:v>
      </x:c>
      <x:c r="J291" s="660">
        <x:v>0</x:v>
      </x:c>
      <x:c r="K291" s="659">
        <x:v>0</x:v>
      </x:c>
      <x:c r="L291" s="658">
        <x:v>0</x:v>
      </x:c>
      <x:c r="M291" s="833"/>
    </x:row>
    <x:row r="292" spans="1:13" s="689" customFormat="1" ht="21" customHeight="1">
      <x:c r="A292" s="832"/>
      <x:c r="B292" s="831" t="s">
        <x:v>456</x:v>
      </x:c>
      <x:c r="C292" s="807">
        <x:f t="shared" ref="C292:L292" si="60">C288-C284</x:f>
        <x:v>0</x:v>
      </x:c>
      <x:c r="D292" s="806">
        <x:f t="shared" si="60"/>
        <x:v>0</x:v>
      </x:c>
      <x:c r="E292" s="805">
        <x:f t="shared" si="60"/>
        <x:v>0</x:v>
      </x:c>
      <x:c r="F292" s="804">
        <x:f t="shared" si="60"/>
        <x:v>0</x:v>
      </x:c>
      <x:c r="G292" s="806">
        <x:f t="shared" si="60"/>
        <x:v>0</x:v>
      </x:c>
      <x:c r="H292" s="805">
        <x:f t="shared" si="60"/>
        <x:v>0</x:v>
      </x:c>
      <x:c r="I292" s="804">
        <x:f t="shared" si="60"/>
        <x:v>0</x:v>
      </x:c>
      <x:c r="J292" s="806">
        <x:f t="shared" si="60"/>
        <x:v>-100000</x:v>
      </x:c>
      <x:c r="K292" s="805">
        <x:f t="shared" si="60"/>
        <x:v>0</x:v>
      </x:c>
      <x:c r="L292" s="804">
        <x:f t="shared" si="60"/>
        <x:v>100000</x:v>
      </x:c>
      <x:c r="M292" s="830" t="s">
        <x:v>1374</x:v>
      </x:c>
    </x:row>
    <x:row r="293" spans="1:13" s="689" customFormat="1" ht="21" customHeight="1">
      <x:c r="A293" s="841" t="s">
        <x:v>1847</x:v>
      </x:c>
      <x:c r="B293" s="840" t="s">
        <x:v>1295</x:v>
      </x:c>
      <x:c r="C293" s="788">
        <x:v>48132000</x:v>
      </x:c>
      <x:c r="D293" s="786">
        <x:v>500000</x:v>
      </x:c>
      <x:c r="E293" s="785">
        <x:v>482929</x:v>
      </x:c>
      <x:c r="F293" s="784">
        <x:v>17071</x:v>
      </x:c>
      <x:c r="G293" s="786">
        <x:v>0</x:v>
      </x:c>
      <x:c r="H293" s="785">
        <x:v>0</x:v>
      </x:c>
      <x:c r="I293" s="784">
        <x:v>0</x:v>
      </x:c>
      <x:c r="J293" s="786">
        <x:v>0</x:v>
      </x:c>
      <x:c r="K293" s="785">
        <x:v>0</x:v>
      </x:c>
      <x:c r="L293" s="784">
        <x:v>47632000</x:v>
      </x:c>
      <x:c r="M293" s="839" t="s">
        <x:v>1668</x:v>
      </x:c>
    </x:row>
    <x:row r="294" spans="1:13" s="689" customFormat="1" ht="21" customHeight="1">
      <x:c r="A294" s="834" t="s">
        <x:v>1866</x:v>
      </x:c>
      <x:c r="B294" s="709" t="s">
        <x:v>117</x:v>
      </x:c>
      <x:c r="C294" s="676">
        <x:v>43721000</x:v>
      </x:c>
      <x:c r="D294" s="674">
        <x:v>480000</x:v>
      </x:c>
      <x:c r="E294" s="673">
        <x:v>462929</x:v>
      </x:c>
      <x:c r="F294" s="672">
        <x:v>17071</x:v>
      </x:c>
      <x:c r="G294" s="674">
        <x:v>0</x:v>
      </x:c>
      <x:c r="H294" s="673">
        <x:v>0</x:v>
      </x:c>
      <x:c r="I294" s="672">
        <x:v>0</x:v>
      </x:c>
      <x:c r="J294" s="674">
        <x:v>0</x:v>
      </x:c>
      <x:c r="K294" s="673">
        <x:v>0</x:v>
      </x:c>
      <x:c r="L294" s="672">
        <x:v>43241000</x:v>
      </x:c>
      <x:c r="M294" s="833" t="s">
        <x:v>1720</x:v>
      </x:c>
    </x:row>
    <x:row r="295" spans="1:13" s="689" customFormat="1" ht="21" customHeight="1">
      <x:c r="A295" s="834" t="s">
        <x:v>1850</x:v>
      </x:c>
      <x:c r="B295" s="709" t="s">
        <x:v>148</x:v>
      </x:c>
      <x:c r="C295" s="661">
        <x:v>2010000</x:v>
      </x:c>
      <x:c r="D295" s="660">
        <x:v>0</x:v>
      </x:c>
      <x:c r="E295" s="659">
        <x:v>0</x:v>
      </x:c>
      <x:c r="F295" s="658">
        <x:v>0</x:v>
      </x:c>
      <x:c r="G295" s="660">
        <x:v>0</x:v>
      </x:c>
      <x:c r="H295" s="659">
        <x:v>0</x:v>
      </x:c>
      <x:c r="I295" s="658">
        <x:v>0</x:v>
      </x:c>
      <x:c r="J295" s="660">
        <x:v>0</x:v>
      </x:c>
      <x:c r="K295" s="659">
        <x:v>0</x:v>
      </x:c>
      <x:c r="L295" s="658">
        <x:v>2010000</x:v>
      </x:c>
      <x:c r="M295" s="833"/>
    </x:row>
    <x:row r="296" spans="1:13" s="689" customFormat="1" ht="21" customHeight="1">
      <x:c r="A296" s="834" t="s">
        <x:v>1717</x:v>
      </x:c>
      <x:c r="B296" s="838" t="s">
        <x:v>646</x:v>
      </x:c>
      <x:c r="C296" s="661">
        <x:v>2401000</x:v>
      </x:c>
      <x:c r="D296" s="660">
        <x:v>20000</x:v>
      </x:c>
      <x:c r="E296" s="659">
        <x:v>20000</x:v>
      </x:c>
      <x:c r="F296" s="658">
        <x:v>0</x:v>
      </x:c>
      <x:c r="G296" s="660">
        <x:v>0</x:v>
      </x:c>
      <x:c r="H296" s="659">
        <x:v>0</x:v>
      </x:c>
      <x:c r="I296" s="658">
        <x:v>0</x:v>
      </x:c>
      <x:c r="J296" s="660">
        <x:v>0</x:v>
      </x:c>
      <x:c r="K296" s="659">
        <x:v>0</x:v>
      </x:c>
      <x:c r="L296" s="658">
        <x:v>2381000</x:v>
      </x:c>
      <x:c r="M296" s="833"/>
    </x:row>
    <x:row r="297" spans="1:13" s="689" customFormat="1" ht="21" customHeight="1">
      <x:c r="A297" s="834" t="s">
        <x:v>1844</x:v>
      </x:c>
      <x:c r="B297" s="669" t="s">
        <x:v>1294</x:v>
      </x:c>
      <x:c r="C297" s="668">
        <x:f>D297+G297+J297+K297+L297</x:f>
        <x:v>48132000</x:v>
      </x:c>
      <x:c r="D297" s="666">
        <x:f t="shared" ref="D297:L297" si="61">D298+D299+D300</x:f>
        <x:v>500000</x:v>
      </x:c>
      <x:c r="E297" s="665">
        <x:f t="shared" si="61"/>
        <x:v>482929</x:v>
      </x:c>
      <x:c r="F297" s="664">
        <x:f t="shared" si="61"/>
        <x:v>17071</x:v>
      </x:c>
      <x:c r="G297" s="666">
        <x:f t="shared" si="61"/>
        <x:v>0</x:v>
      </x:c>
      <x:c r="H297" s="665">
        <x:f t="shared" si="61"/>
        <x:v>0</x:v>
      </x:c>
      <x:c r="I297" s="664">
        <x:f t="shared" si="61"/>
        <x:v>0</x:v>
      </x:c>
      <x:c r="J297" s="666">
        <x:f t="shared" si="61"/>
        <x:v>1400000</x:v>
      </x:c>
      <x:c r="K297" s="665">
        <x:f t="shared" si="61"/>
        <x:v>0</x:v>
      </x:c>
      <x:c r="L297" s="664">
        <x:f t="shared" si="61"/>
        <x:v>46232000</x:v>
      </x:c>
      <x:c r="M297" s="833"/>
    </x:row>
    <x:row r="298" spans="1:13" s="689" customFormat="1" ht="21" customHeight="1">
      <x:c r="A298" s="834"/>
      <x:c r="B298" s="709" t="s">
        <x:v>117</x:v>
      </x:c>
      <x:c r="C298" s="661">
        <x:f>D298+G298+J298+K298+L298</x:f>
        <x:v>43721000</x:v>
      </x:c>
      <x:c r="D298" s="660">
        <x:v>480000</x:v>
      </x:c>
      <x:c r="E298" s="659">
        <x:f>+D298-F298</x:f>
        <x:v>462929</x:v>
      </x:c>
      <x:c r="F298" s="658">
        <x:v>17071</x:v>
      </x:c>
      <x:c r="G298" s="660">
        <x:v>0</x:v>
      </x:c>
      <x:c r="H298" s="659">
        <x:v>0</x:v>
      </x:c>
      <x:c r="I298" s="658">
        <x:f>G298-H298</x:f>
        <x:v>0</x:v>
      </x:c>
      <x:c r="J298" s="660">
        <x:v>1400000</x:v>
      </x:c>
      <x:c r="K298" s="659">
        <x:v>0</x:v>
      </x:c>
      <x:c r="L298" s="658">
        <x:f>43241000-1400000</x:f>
        <x:v>41841000</x:v>
      </x:c>
      <x:c r="M298" s="651"/>
    </x:row>
    <x:row r="299" spans="1:13" s="689" customFormat="1" ht="21" customHeight="1">
      <x:c r="A299" s="835" t="s">
        <x:v>1688</x:v>
      </x:c>
      <x:c r="B299" s="709" t="s">
        <x:v>148</x:v>
      </x:c>
      <x:c r="C299" s="661">
        <x:f>D299+G299+J299+K299+L299</x:f>
        <x:v>2010000</x:v>
      </x:c>
      <x:c r="D299" s="660">
        <x:v>0</x:v>
      </x:c>
      <x:c r="E299" s="659">
        <x:f>+D299-F299</x:f>
        <x:v>0</x:v>
      </x:c>
      <x:c r="F299" s="658">
        <x:v>0</x:v>
      </x:c>
      <x:c r="G299" s="660">
        <x:v>0</x:v>
      </x:c>
      <x:c r="H299" s="659">
        <x:v>0</x:v>
      </x:c>
      <x:c r="I299" s="658">
        <x:f>G299-H299</x:f>
        <x:v>0</x:v>
      </x:c>
      <x:c r="J299" s="660">
        <x:v>0</x:v>
      </x:c>
      <x:c r="K299" s="659">
        <x:v>0</x:v>
      </x:c>
      <x:c r="L299" s="658">
        <x:v>2010000</x:v>
      </x:c>
      <x:c r="M299" s="651"/>
    </x:row>
    <x:row r="300" spans="1:13" s="689" customFormat="1" ht="21" customHeight="1">
      <x:c r="A300" s="834"/>
      <x:c r="B300" s="842" t="s">
        <x:v>646</x:v>
      </x:c>
      <x:c r="C300" s="661">
        <x:f>D300+G300+J300+K300+L300</x:f>
        <x:v>2401000</x:v>
      </x:c>
      <x:c r="D300" s="660">
        <x:v>20000</x:v>
      </x:c>
      <x:c r="E300" s="837">
        <x:f>+D300-F300</x:f>
        <x:v>20000</x:v>
      </x:c>
      <x:c r="F300" s="658">
        <x:v>0</x:v>
      </x:c>
      <x:c r="G300" s="836">
        <x:v>0</x:v>
      </x:c>
      <x:c r="H300" s="659">
        <x:v>0</x:v>
      </x:c>
      <x:c r="I300" s="658">
        <x:f>G300-H300</x:f>
        <x:v>0</x:v>
      </x:c>
      <x:c r="J300" s="660">
        <x:v>0</x:v>
      </x:c>
      <x:c r="K300" s="659">
        <x:v>0</x:v>
      </x:c>
      <x:c r="L300" s="658">
        <x:v>2381000</x:v>
      </x:c>
      <x:c r="M300" s="833"/>
    </x:row>
    <x:row r="301" spans="1:13" s="689" customFormat="1" ht="21" customHeight="1">
      <x:c r="A301" s="832"/>
      <x:c r="B301" s="831" t="s">
        <x:v>456</x:v>
      </x:c>
      <x:c r="C301" s="807">
        <x:f t="shared" ref="C301:L301" si="62">C297-C293</x:f>
        <x:v>0</x:v>
      </x:c>
      <x:c r="D301" s="806">
        <x:f t="shared" si="62"/>
        <x:v>0</x:v>
      </x:c>
      <x:c r="E301" s="805">
        <x:f t="shared" si="62"/>
        <x:v>0</x:v>
      </x:c>
      <x:c r="F301" s="804">
        <x:f t="shared" si="62"/>
        <x:v>0</x:v>
      </x:c>
      <x:c r="G301" s="806">
        <x:f t="shared" si="62"/>
        <x:v>0</x:v>
      </x:c>
      <x:c r="H301" s="805">
        <x:f t="shared" si="62"/>
        <x:v>0</x:v>
      </x:c>
      <x:c r="I301" s="804">
        <x:f t="shared" si="62"/>
        <x:v>0</x:v>
      </x:c>
      <x:c r="J301" s="806">
        <x:f t="shared" si="62"/>
        <x:v>1400000</x:v>
      </x:c>
      <x:c r="K301" s="805">
        <x:f t="shared" si="62"/>
        <x:v>0</x:v>
      </x:c>
      <x:c r="L301" s="804">
        <x:f t="shared" si="62"/>
        <x:v>-1400000</x:v>
      </x:c>
      <x:c r="M301" s="830" t="s">
        <x:v>1851</x:v>
      </x:c>
    </x:row>
    <x:row r="302" spans="1:13" s="689" customFormat="1" ht="21" customHeight="1">
      <x:c r="A302" s="841" t="s">
        <x:v>1393</x:v>
      </x:c>
      <x:c r="B302" s="840" t="s">
        <x:v>1295</x:v>
      </x:c>
      <x:c r="C302" s="788">
        <x:v>70236000</x:v>
      </x:c>
      <x:c r="D302" s="786">
        <x:v>30122000</x:v>
      </x:c>
      <x:c r="E302" s="785">
        <x:v>29756735</x:v>
      </x:c>
      <x:c r="F302" s="784">
        <x:v>365265</x:v>
      </x:c>
      <x:c r="G302" s="786">
        <x:v>0</x:v>
      </x:c>
      <x:c r="H302" s="785">
        <x:v>0</x:v>
      </x:c>
      <x:c r="I302" s="784">
        <x:v>0</x:v>
      </x:c>
      <x:c r="J302" s="786">
        <x:v>0</x:v>
      </x:c>
      <x:c r="K302" s="785">
        <x:v>0</x:v>
      </x:c>
      <x:c r="L302" s="784">
        <x:v>40114000</x:v>
      </x:c>
      <x:c r="M302" s="839" t="s">
        <x:v>1668</x:v>
      </x:c>
    </x:row>
    <x:row r="303" spans="1:13" s="689" customFormat="1" ht="21" customHeight="1">
      <x:c r="A303" s="834" t="s">
        <x:v>1718</x:v>
      </x:c>
      <x:c r="B303" s="709" t="s">
        <x:v>117</x:v>
      </x:c>
      <x:c r="C303" s="661">
        <x:v>66191000</x:v>
      </x:c>
      <x:c r="D303" s="660">
        <x:v>29996000</x:v>
      </x:c>
      <x:c r="E303" s="659">
        <x:v>29743374</x:v>
      </x:c>
      <x:c r="F303" s="658">
        <x:v>252626</x:v>
      </x:c>
      <x:c r="G303" s="660">
        <x:v>0</x:v>
      </x:c>
      <x:c r="H303" s="659">
        <x:v>0</x:v>
      </x:c>
      <x:c r="I303" s="658">
        <x:v>0</x:v>
      </x:c>
      <x:c r="J303" s="660">
        <x:v>0</x:v>
      </x:c>
      <x:c r="K303" s="659">
        <x:v>0</x:v>
      </x:c>
      <x:c r="L303" s="658">
        <x:v>36195000</x:v>
      </x:c>
      <x:c r="M303" s="833" t="s">
        <x:v>1720</x:v>
      </x:c>
    </x:row>
    <x:row r="304" spans="1:13" s="689" customFormat="1" ht="21" customHeight="1">
      <x:c r="A304" s="834" t="s">
        <x:v>1841</x:v>
      </x:c>
      <x:c r="B304" s="709" t="s">
        <x:v>148</x:v>
      </x:c>
      <x:c r="C304" s="661">
        <x:v>3985000</x:v>
      </x:c>
      <x:c r="D304" s="660">
        <x:v>100000</x:v>
      </x:c>
      <x:c r="E304" s="659">
        <x:v>0</x:v>
      </x:c>
      <x:c r="F304" s="658">
        <x:v>100000</x:v>
      </x:c>
      <x:c r="G304" s="660">
        <x:v>0</x:v>
      </x:c>
      <x:c r="H304" s="659">
        <x:v>0</x:v>
      </x:c>
      <x:c r="I304" s="658">
        <x:v>0</x:v>
      </x:c>
      <x:c r="J304" s="660">
        <x:v>0</x:v>
      </x:c>
      <x:c r="K304" s="659">
        <x:v>0</x:v>
      </x:c>
      <x:c r="L304" s="658">
        <x:v>3885000</x:v>
      </x:c>
      <x:c r="M304" s="833"/>
    </x:row>
    <x:row r="305" spans="1:13" s="689" customFormat="1" ht="21" customHeight="1">
      <x:c r="A305" s="834" t="s">
        <x:v>1848</x:v>
      </x:c>
      <x:c r="B305" s="838" t="s">
        <x:v>646</x:v>
      </x:c>
      <x:c r="C305" s="661">
        <x:v>60000</x:v>
      </x:c>
      <x:c r="D305" s="660">
        <x:v>26000</x:v>
      </x:c>
      <x:c r="E305" s="837">
        <x:v>13361</x:v>
      </x:c>
      <x:c r="F305" s="658">
        <x:v>12639</x:v>
      </x:c>
      <x:c r="G305" s="836">
        <x:v>0</x:v>
      </x:c>
      <x:c r="H305" s="659">
        <x:v>0</x:v>
      </x:c>
      <x:c r="I305" s="658">
        <x:v>0</x:v>
      </x:c>
      <x:c r="J305" s="660">
        <x:v>0</x:v>
      </x:c>
      <x:c r="K305" s="659">
        <x:v>0</x:v>
      </x:c>
      <x:c r="L305" s="658">
        <x:v>34000</x:v>
      </x:c>
      <x:c r="M305" s="833"/>
    </x:row>
    <x:row r="306" spans="1:13" s="689" customFormat="1" ht="21" customHeight="1">
      <x:c r="A306" s="834" t="s">
        <x:v>1855</x:v>
      </x:c>
      <x:c r="B306" s="669" t="s">
        <x:v>1294</x:v>
      </x:c>
      <x:c r="C306" s="668">
        <x:v>70236000</x:v>
      </x:c>
      <x:c r="D306" s="666">
        <x:v>30122000</x:v>
      </x:c>
      <x:c r="E306" s="665">
        <x:v>29756735</x:v>
      </x:c>
      <x:c r="F306" s="664">
        <x:v>365265</x:v>
      </x:c>
      <x:c r="G306" s="666">
        <x:v>0</x:v>
      </x:c>
      <x:c r="H306" s="665">
        <x:v>0</x:v>
      </x:c>
      <x:c r="I306" s="664">
        <x:v>0</x:v>
      </x:c>
      <x:c r="J306" s="666">
        <x:v>500000</x:v>
      </x:c>
      <x:c r="K306" s="665">
        <x:v>0</x:v>
      </x:c>
      <x:c r="L306" s="664">
        <x:v>39614000</x:v>
      </x:c>
      <x:c r="M306" s="833"/>
    </x:row>
    <x:row r="307" spans="1:13" s="689" customFormat="1" ht="21" customHeight="1">
      <x:c r="A307" s="834"/>
      <x:c r="B307" s="709" t="s">
        <x:v>117</x:v>
      </x:c>
      <x:c r="C307" s="661">
        <x:v>66191000</x:v>
      </x:c>
      <x:c r="D307" s="660">
        <x:v>29996000</x:v>
      </x:c>
      <x:c r="E307" s="659">
        <x:v>29743374</x:v>
      </x:c>
      <x:c r="F307" s="658">
        <x:v>252626</x:v>
      </x:c>
      <x:c r="G307" s="660">
        <x:v>0</x:v>
      </x:c>
      <x:c r="H307" s="659">
        <x:v>0</x:v>
      </x:c>
      <x:c r="I307" s="658">
        <x:v>0</x:v>
      </x:c>
      <x:c r="J307" s="660">
        <x:v>360000</x:v>
      </x:c>
      <x:c r="K307" s="659">
        <x:v>0</x:v>
      </x:c>
      <x:c r="L307" s="658">
        <x:v>35835000</x:v>
      </x:c>
      <x:c r="M307" s="651"/>
    </x:row>
    <x:row r="308" spans="1:13" s="689" customFormat="1" ht="21" customHeight="1">
      <x:c r="A308" s="835" t="s">
        <x:v>454</x:v>
      </x:c>
      <x:c r="B308" s="709" t="s">
        <x:v>148</x:v>
      </x:c>
      <x:c r="C308" s="661">
        <x:v>3985000</x:v>
      </x:c>
      <x:c r="D308" s="660">
        <x:v>100000</x:v>
      </x:c>
      <x:c r="E308" s="659">
        <x:v>0</x:v>
      </x:c>
      <x:c r="F308" s="658">
        <x:v>100000</x:v>
      </x:c>
      <x:c r="G308" s="660">
        <x:v>0</x:v>
      </x:c>
      <x:c r="H308" s="659">
        <x:v>0</x:v>
      </x:c>
      <x:c r="I308" s="658">
        <x:v>0</x:v>
      </x:c>
      <x:c r="J308" s="660">
        <x:v>140000</x:v>
      </x:c>
      <x:c r="K308" s="659">
        <x:v>0</x:v>
      </x:c>
      <x:c r="L308" s="658">
        <x:v>3745000</x:v>
      </x:c>
      <x:c r="M308" s="651"/>
    </x:row>
    <x:row r="309" spans="1:13" s="689" customFormat="1" ht="21" customHeight="1">
      <x:c r="A309" s="834"/>
      <x:c r="B309" s="709" t="s">
        <x:v>646</x:v>
      </x:c>
      <x:c r="C309" s="661">
        <x:v>60000</x:v>
      </x:c>
      <x:c r="D309" s="660">
        <x:v>26000</x:v>
      </x:c>
      <x:c r="E309" s="659">
        <x:v>13361</x:v>
      </x:c>
      <x:c r="F309" s="658">
        <x:v>12639</x:v>
      </x:c>
      <x:c r="G309" s="660">
        <x:v>0</x:v>
      </x:c>
      <x:c r="H309" s="659">
        <x:v>0</x:v>
      </x:c>
      <x:c r="I309" s="658">
        <x:v>0</x:v>
      </x:c>
      <x:c r="J309" s="660">
        <x:v>0</x:v>
      </x:c>
      <x:c r="K309" s="659">
        <x:v>0</x:v>
      </x:c>
      <x:c r="L309" s="658">
        <x:v>34000</x:v>
      </x:c>
      <x:c r="M309" s="833"/>
    </x:row>
    <x:row r="310" spans="1:13" s="689" customFormat="1" ht="21" customHeight="1">
      <x:c r="A310" s="832"/>
      <x:c r="B310" s="831" t="s">
        <x:v>456</x:v>
      </x:c>
      <x:c r="C310" s="807">
        <x:v>0</x:v>
      </x:c>
      <x:c r="D310" s="806">
        <x:v>0</x:v>
      </x:c>
      <x:c r="E310" s="805">
        <x:v>0</x:v>
      </x:c>
      <x:c r="F310" s="810">
        <x:v>0</x:v>
      </x:c>
      <x:c r="G310" s="806">
        <x:v>0</x:v>
      </x:c>
      <x:c r="H310" s="805">
        <x:v>0</x:v>
      </x:c>
      <x:c r="I310" s="810">
        <x:v>0</x:v>
      </x:c>
      <x:c r="J310" s="806">
        <x:v>500000</x:v>
      </x:c>
      <x:c r="K310" s="805">
        <x:v>0</x:v>
      </x:c>
      <x:c r="L310" s="804" t="s">
        <x:v>468</x:v>
      </x:c>
      <x:c r="M310" s="830" t="s">
        <x:v>1851</x:v>
      </x:c>
    </x:row>
    <x:row r="311" spans="1:13" s="689" customFormat="1" ht="21" customHeight="1">
      <x:c r="A311" s="829" t="s">
        <x:v>1367</x:v>
      </x:c>
      <x:c r="B311" s="828" t="s">
        <x:v>1295</x:v>
      </x:c>
      <x:c r="C311" s="787">
        <x:v>54716000</x:v>
      </x:c>
      <x:c r="D311" s="786">
        <x:v>29500000</x:v>
      </x:c>
      <x:c r="E311" s="785">
        <x:v>22648925</x:v>
      </x:c>
      <x:c r="F311" s="787">
        <x:v>6851075</x:v>
      </x:c>
      <x:c r="G311" s="786">
        <x:v>6705000</x:v>
      </x:c>
      <x:c r="H311" s="785">
        <x:v>6501032</x:v>
      </x:c>
      <x:c r="I311" s="787">
        <x:v>203968</x:v>
      </x:c>
      <x:c r="J311" s="786">
        <x:v>0</x:v>
      </x:c>
      <x:c r="K311" s="785">
        <x:v>0</x:v>
      </x:c>
      <x:c r="L311" s="784">
        <x:v>18511000</x:v>
      </x:c>
      <x:c r="M311" s="827" t="s">
        <x:v>1668</x:v>
      </x:c>
    </x:row>
    <x:row r="312" spans="1:13" s="689" customFormat="1" ht="21" customHeight="1">
      <x:c r="A312" s="822" t="s">
        <x:v>1840</x:v>
      </x:c>
      <x:c r="B312" s="816" t="s">
        <x:v>117</x:v>
      </x:c>
      <x:c r="C312" s="661">
        <x:v>53056000</x:v>
      </x:c>
      <x:c r="D312" s="660">
        <x:v>29480000</x:v>
      </x:c>
      <x:c r="E312" s="659">
        <x:v>22646177</x:v>
      </x:c>
      <x:c r="F312" s="671">
        <x:v>6833823</x:v>
      </x:c>
      <x:c r="G312" s="660">
        <x:v>6705000</x:v>
      </x:c>
      <x:c r="H312" s="659">
        <x:v>6501032</x:v>
      </x:c>
      <x:c r="I312" s="671">
        <x:v>0</x:v>
      </x:c>
      <x:c r="J312" s="660">
        <x:v>0</x:v>
      </x:c>
      <x:c r="K312" s="659">
        <x:v>0</x:v>
      </x:c>
      <x:c r="L312" s="658">
        <x:v>16871000</x:v>
      </x:c>
      <x:c r="M312" s="826" t="s">
        <x:v>1720</x:v>
      </x:c>
    </x:row>
    <x:row r="313" spans="1:13" s="689" customFormat="1" ht="21" customHeight="1">
      <x:c r="A313" s="822" t="s">
        <x:v>1863</x:v>
      </x:c>
      <x:c r="B313" s="816" t="s">
        <x:v>148</x:v>
      </x:c>
      <x:c r="C313" s="661">
        <x:v>1607000</x:v>
      </x:c>
      <x:c r="D313" s="660">
        <x:v>0</x:v>
      </x:c>
      <x:c r="E313" s="659">
        <x:v>0</x:v>
      </x:c>
      <x:c r="F313" s="671">
        <x:v>0</x:v>
      </x:c>
      <x:c r="G313" s="660">
        <x:v>0</x:v>
      </x:c>
      <x:c r="H313" s="659">
        <x:v>0</x:v>
      </x:c>
      <x:c r="I313" s="671">
        <x:v>0</x:v>
      </x:c>
      <x:c r="J313" s="660">
        <x:v>0</x:v>
      </x:c>
      <x:c r="K313" s="659">
        <x:v>0</x:v>
      </x:c>
      <x:c r="L313" s="658">
        <x:v>1607000</x:v>
      </x:c>
      <x:c r="M313" s="825"/>
    </x:row>
    <x:row r="314" spans="1:13" s="689" customFormat="1" ht="21" customHeight="1">
      <x:c r="A314" s="824" t="s">
        <x:v>1719</x:v>
      </x:c>
      <x:c r="B314" s="816" t="s">
        <x:v>646</x:v>
      </x:c>
      <x:c r="C314" s="661">
        <x:v>53000</x:v>
      </x:c>
      <x:c r="D314" s="660">
        <x:v>20000</x:v>
      </x:c>
      <x:c r="E314" s="659">
        <x:v>2748</x:v>
      </x:c>
      <x:c r="F314" s="671">
        <x:v>17252</x:v>
      </x:c>
      <x:c r="G314" s="660">
        <x:v>0</x:v>
      </x:c>
      <x:c r="H314" s="659">
        <x:v>0</x:v>
      </x:c>
      <x:c r="I314" s="671">
        <x:v>0</x:v>
      </x:c>
      <x:c r="J314" s="660">
        <x:v>0</x:v>
      </x:c>
      <x:c r="K314" s="659">
        <x:v>0</x:v>
      </x:c>
      <x:c r="L314" s="658">
        <x:v>33000</x:v>
      </x:c>
      <x:c r="M314" s="823"/>
    </x:row>
    <x:row r="315" spans="1:13" s="689" customFormat="1" ht="21" customHeight="1">
      <x:c r="A315" s="822" t="s">
        <x:v>1865</x:v>
      </x:c>
      <x:c r="B315" s="821" t="s">
        <x:v>1294</x:v>
      </x:c>
      <x:c r="C315" s="667">
        <x:v>110185000</x:v>
      </x:c>
      <x:c r="D315" s="666">
        <x:v>29500000</x:v>
      </x:c>
      <x:c r="E315" s="665">
        <x:v>22648925</x:v>
      </x:c>
      <x:c r="F315" s="667">
        <x:v>6851075</x:v>
      </x:c>
      <x:c r="G315" s="666">
        <x:v>6705000</x:v>
      </x:c>
      <x:c r="H315" s="665">
        <x:v>6501032</x:v>
      </x:c>
      <x:c r="I315" s="667">
        <x:v>203968</x:v>
      </x:c>
      <x:c r="J315" s="666">
        <x:v>19000000</x:v>
      </x:c>
      <x:c r="K315" s="665">
        <x:v>0</x:v>
      </x:c>
      <x:c r="L315" s="664">
        <x:v>54980000</x:v>
      </x:c>
      <x:c r="M315" s="820"/>
    </x:row>
    <x:row r="316" spans="1:13" s="689" customFormat="1" ht="21" customHeight="1">
      <x:c r="A316" s="819"/>
      <x:c r="B316" s="816" t="s">
        <x:v>117</x:v>
      </x:c>
      <x:c r="C316" s="661">
        <x:v>108458000</x:v>
      </x:c>
      <x:c r="D316" s="660">
        <x:v>29480000</x:v>
      </x:c>
      <x:c r="E316" s="659">
        <x:v>22646177</x:v>
      </x:c>
      <x:c r="F316" s="671">
        <x:v>6833823</x:v>
      </x:c>
      <x:c r="G316" s="660">
        <x:v>6705000</x:v>
      </x:c>
      <x:c r="H316" s="659">
        <x:v>6501032</x:v>
      </x:c>
      <x:c r="I316" s="671">
        <x:v>0</x:v>
      </x:c>
      <x:c r="J316" s="660">
        <x:v>18900000</x:v>
      </x:c>
      <x:c r="K316" s="659">
        <x:v>0</x:v>
      </x:c>
      <x:c r="L316" s="658">
        <x:v>53373000</x:v>
      </x:c>
      <x:c r="M316" s="818"/>
    </x:row>
    <x:row r="317" spans="1:13" s="689" customFormat="1" ht="21" customHeight="1">
      <x:c r="A317" s="817" t="s">
        <x:v>1688</x:v>
      </x:c>
      <x:c r="B317" s="816" t="s">
        <x:v>148</x:v>
      </x:c>
      <x:c r="C317" s="661">
        <x:v>1607000</x:v>
      </x:c>
      <x:c r="D317" s="660">
        <x:v>0</x:v>
      </x:c>
      <x:c r="E317" s="659">
        <x:v>0</x:v>
      </x:c>
      <x:c r="F317" s="671">
        <x:v>0</x:v>
      </x:c>
      <x:c r="G317" s="660">
        <x:v>0</x:v>
      </x:c>
      <x:c r="H317" s="659">
        <x:v>0</x:v>
      </x:c>
      <x:c r="I317" s="671">
        <x:v>0</x:v>
      </x:c>
      <x:c r="J317" s="660">
        <x:v>0</x:v>
      </x:c>
      <x:c r="K317" s="659">
        <x:v>0</x:v>
      </x:c>
      <x:c r="L317" s="658">
        <x:v>1607000</x:v>
      </x:c>
      <x:c r="M317" s="815"/>
    </x:row>
    <x:row r="318" spans="1:13" s="689" customFormat="1" ht="21" customHeight="1">
      <x:c r="A318" s="817"/>
      <x:c r="B318" s="816" t="s">
        <x:v>646</x:v>
      </x:c>
      <x:c r="C318" s="661">
        <x:v>120000</x:v>
      </x:c>
      <x:c r="D318" s="660">
        <x:v>20000</x:v>
      </x:c>
      <x:c r="E318" s="659">
        <x:v>2748</x:v>
      </x:c>
      <x:c r="F318" s="671">
        <x:v>17252</x:v>
      </x:c>
      <x:c r="G318" s="660">
        <x:v>0</x:v>
      </x:c>
      <x:c r="H318" s="659">
        <x:v>0</x:v>
      </x:c>
      <x:c r="I318" s="671">
        <x:v>0</x:v>
      </x:c>
      <x:c r="J318" s="660">
        <x:v>100000</x:v>
      </x:c>
      <x:c r="K318" s="659">
        <x:v>0</x:v>
      </x:c>
      <x:c r="L318" s="658"/>
      <x:c r="M318" s="815"/>
    </x:row>
    <x:row r="319" spans="1:13" s="689" customFormat="1" ht="21" customHeight="1">
      <x:c r="A319" s="814"/>
      <x:c r="B319" s="813" t="s">
        <x:v>456</x:v>
      </x:c>
      <x:c r="C319" s="810">
        <x:v>55469000</x:v>
      </x:c>
      <x:c r="D319" s="806">
        <x:v>0</x:v>
      </x:c>
      <x:c r="E319" s="805">
        <x:v>0</x:v>
      </x:c>
      <x:c r="F319" s="810">
        <x:v>0</x:v>
      </x:c>
      <x:c r="G319" s="806">
        <x:v>0</x:v>
      </x:c>
      <x:c r="H319" s="805">
        <x:v>0</x:v>
      </x:c>
      <x:c r="I319" s="810">
        <x:v>0</x:v>
      </x:c>
      <x:c r="J319" s="806">
        <x:v>19000000</x:v>
      </x:c>
      <x:c r="K319" s="805">
        <x:v>0</x:v>
      </x:c>
      <x:c r="L319" s="804">
        <x:v>36469000</x:v>
      </x:c>
      <x:c r="M319" s="812" t="s">
        <x:v>1390</x:v>
      </x:c>
    </x:row>
    <x:row r="320" spans="1:13" s="689" customFormat="1" ht="21" customHeight="1">
      <x:c r="A320" s="829" t="s">
        <x:v>1392</x:v>
      </x:c>
      <x:c r="B320" s="828" t="s">
        <x:v>1295</x:v>
      </x:c>
      <x:c r="C320" s="787">
        <x:v>129800000</x:v>
      </x:c>
      <x:c r="D320" s="786">
        <x:v>2600000</x:v>
      </x:c>
      <x:c r="E320" s="785">
        <x:v>2600000</x:v>
      </x:c>
      <x:c r="F320" s="787">
        <x:v>0</x:v>
      </x:c>
      <x:c r="G320" s="786">
        <x:v>12000164</x:v>
      </x:c>
      <x:c r="H320" s="785">
        <x:v>6000082</x:v>
      </x:c>
      <x:c r="I320" s="787">
        <x:v>6000082</x:v>
      </x:c>
      <x:c r="J320" s="786">
        <x:v>0</x:v>
      </x:c>
      <x:c r="K320" s="785">
        <x:v>0</x:v>
      </x:c>
      <x:c r="L320" s="784">
        <x:v>115199836</x:v>
      </x:c>
      <x:c r="M320" s="827" t="s">
        <x:v>1668</x:v>
      </x:c>
    </x:row>
    <x:row r="321" spans="1:13" s="689" customFormat="1" ht="21" customHeight="1">
      <x:c r="A321" s="822" t="s">
        <x:v>1391</x:v>
      </x:c>
      <x:c r="B321" s="816" t="s">
        <x:v>117</x:v>
      </x:c>
      <x:c r="C321" s="661">
        <x:v>129800000</x:v>
      </x:c>
      <x:c r="D321" s="660">
        <x:v>2600000</x:v>
      </x:c>
      <x:c r="E321" s="659">
        <x:v>2600000</x:v>
      </x:c>
      <x:c r="F321" s="671">
        <x:v>0</x:v>
      </x:c>
      <x:c r="G321" s="660">
        <x:v>12000164</x:v>
      </x:c>
      <x:c r="H321" s="659">
        <x:v>6000082</x:v>
      </x:c>
      <x:c r="I321" s="671">
        <x:v>6000082</x:v>
      </x:c>
      <x:c r="J321" s="660">
        <x:v>0</x:v>
      </x:c>
      <x:c r="K321" s="659">
        <x:v>0</x:v>
      </x:c>
      <x:c r="L321" s="658">
        <x:v>115199836</x:v>
      </x:c>
      <x:c r="M321" s="826" t="s">
        <x:v>1720</x:v>
      </x:c>
    </x:row>
    <x:row r="322" spans="1:13" s="689" customFormat="1" ht="21" customHeight="1">
      <x:c r="A322" s="822" t="s">
        <x:v>1854</x:v>
      </x:c>
      <x:c r="B322" s="816" t="s">
        <x:v>148</x:v>
      </x:c>
      <x:c r="C322" s="661">
        <x:v>0</x:v>
      </x:c>
      <x:c r="D322" s="660">
        <x:v>0</x:v>
      </x:c>
      <x:c r="E322" s="659">
        <x:v>0</x:v>
      </x:c>
      <x:c r="F322" s="671">
        <x:v>0</x:v>
      </x:c>
      <x:c r="G322" s="660">
        <x:v>0</x:v>
      </x:c>
      <x:c r="H322" s="659">
        <x:v>0</x:v>
      </x:c>
      <x:c r="I322" s="671">
        <x:v>0</x:v>
      </x:c>
      <x:c r="J322" s="660">
        <x:v>0</x:v>
      </x:c>
      <x:c r="K322" s="659">
        <x:v>0</x:v>
      </x:c>
      <x:c r="L322" s="658">
        <x:v>0</x:v>
      </x:c>
      <x:c r="M322" s="825"/>
    </x:row>
    <x:row r="323" spans="1:13" s="689" customFormat="1" ht="21" customHeight="1">
      <x:c r="A323" s="824" t="s">
        <x:v>1821</x:v>
      </x:c>
      <x:c r="B323" s="816" t="s">
        <x:v>646</x:v>
      </x:c>
      <x:c r="C323" s="661">
        <x:v>0</x:v>
      </x:c>
      <x:c r="D323" s="660">
        <x:v>0</x:v>
      </x:c>
      <x:c r="E323" s="659">
        <x:v>0</x:v>
      </x:c>
      <x:c r="F323" s="671">
        <x:v>0</x:v>
      </x:c>
      <x:c r="G323" s="660">
        <x:v>0</x:v>
      </x:c>
      <x:c r="H323" s="659">
        <x:v>0</x:v>
      </x:c>
      <x:c r="I323" s="671">
        <x:v>0</x:v>
      </x:c>
      <x:c r="J323" s="660">
        <x:v>0</x:v>
      </x:c>
      <x:c r="K323" s="659">
        <x:v>0</x:v>
      </x:c>
      <x:c r="L323" s="658">
        <x:v>0</x:v>
      </x:c>
      <x:c r="M323" s="823"/>
    </x:row>
    <x:row r="324" spans="1:13" s="689" customFormat="1" ht="21" customHeight="1">
      <x:c r="A324" s="822" t="s">
        <x:v>1830</x:v>
      </x:c>
      <x:c r="B324" s="821" t="s">
        <x:v>1294</x:v>
      </x:c>
      <x:c r="C324" s="667">
        <x:v>129800000</x:v>
      </x:c>
      <x:c r="D324" s="666">
        <x:v>2600000</x:v>
      </x:c>
      <x:c r="E324" s="665">
        <x:v>2600000</x:v>
      </x:c>
      <x:c r="F324" s="667">
        <x:v>0</x:v>
      </x:c>
      <x:c r="G324" s="666">
        <x:v>12000164</x:v>
      </x:c>
      <x:c r="H324" s="665">
        <x:v>6000082</x:v>
      </x:c>
      <x:c r="I324" s="667">
        <x:v>6000082</x:v>
      </x:c>
      <x:c r="J324" s="666">
        <x:v>15655844</x:v>
      </x:c>
      <x:c r="K324" s="665">
        <x:v>0</x:v>
      </x:c>
      <x:c r="L324" s="664">
        <x:v>99543992</x:v>
      </x:c>
      <x:c r="M324" s="820"/>
    </x:row>
    <x:row r="325" spans="1:13" s="689" customFormat="1" ht="21" customHeight="1">
      <x:c r="A325" s="819"/>
      <x:c r="B325" s="816" t="s">
        <x:v>117</x:v>
      </x:c>
      <x:c r="C325" s="661">
        <x:v>129800000</x:v>
      </x:c>
      <x:c r="D325" s="660">
        <x:v>2600000</x:v>
      </x:c>
      <x:c r="E325" s="659">
        <x:v>2600000</x:v>
      </x:c>
      <x:c r="F325" s="671">
        <x:v>0</x:v>
      </x:c>
      <x:c r="G325" s="660">
        <x:v>12000164</x:v>
      </x:c>
      <x:c r="H325" s="659">
        <x:v>6000082</x:v>
      </x:c>
      <x:c r="I325" s="671">
        <x:v>6000082</x:v>
      </x:c>
      <x:c r="J325" s="660">
        <x:v>15655844</x:v>
      </x:c>
      <x:c r="K325" s="659">
        <x:v>0</x:v>
      </x:c>
      <x:c r="L325" s="658">
        <x:v>99543992</x:v>
      </x:c>
      <x:c r="M325" s="818"/>
    </x:row>
    <x:row r="326" spans="1:13" s="689" customFormat="1" ht="21" customHeight="1">
      <x:c r="A326" s="817" t="s">
        <x:v>1688</x:v>
      </x:c>
      <x:c r="B326" s="816" t="s">
        <x:v>148</x:v>
      </x:c>
      <x:c r="C326" s="661">
        <x:v>0</x:v>
      </x:c>
      <x:c r="D326" s="660">
        <x:v>0</x:v>
      </x:c>
      <x:c r="E326" s="659">
        <x:v>0</x:v>
      </x:c>
      <x:c r="F326" s="671">
        <x:v>0</x:v>
      </x:c>
      <x:c r="G326" s="660">
        <x:v>0</x:v>
      </x:c>
      <x:c r="H326" s="659">
        <x:v>0</x:v>
      </x:c>
      <x:c r="I326" s="671">
        <x:v>0</x:v>
      </x:c>
      <x:c r="J326" s="660">
        <x:v>0</x:v>
      </x:c>
      <x:c r="K326" s="659">
        <x:v>0</x:v>
      </x:c>
      <x:c r="L326" s="658">
        <x:v>0</x:v>
      </x:c>
      <x:c r="M326" s="815"/>
    </x:row>
    <x:row r="327" spans="1:13" s="689" customFormat="1" ht="21" customHeight="1">
      <x:c r="A327" s="817"/>
      <x:c r="B327" s="816" t="s">
        <x:v>646</x:v>
      </x:c>
      <x:c r="C327" s="661">
        <x:v>0</x:v>
      </x:c>
      <x:c r="D327" s="660">
        <x:v>0</x:v>
      </x:c>
      <x:c r="E327" s="659">
        <x:v>0</x:v>
      </x:c>
      <x:c r="F327" s="671">
        <x:v>0</x:v>
      </x:c>
      <x:c r="G327" s="660">
        <x:v>0</x:v>
      </x:c>
      <x:c r="H327" s="659">
        <x:v>0</x:v>
      </x:c>
      <x:c r="I327" s="671">
        <x:v>0</x:v>
      </x:c>
      <x:c r="J327" s="660">
        <x:v>0</x:v>
      </x:c>
      <x:c r="K327" s="659">
        <x:v>0</x:v>
      </x:c>
      <x:c r="L327" s="658">
        <x:v>0</x:v>
      </x:c>
      <x:c r="M327" s="815"/>
    </x:row>
    <x:row r="328" spans="1:13" s="689" customFormat="1" ht="21" customHeight="1">
      <x:c r="A328" s="814"/>
      <x:c r="B328" s="813" t="s">
        <x:v>456</x:v>
      </x:c>
      <x:c r="C328" s="810">
        <x:v>0</x:v>
      </x:c>
      <x:c r="D328" s="806">
        <x:v>0</x:v>
      </x:c>
      <x:c r="E328" s="805">
        <x:v>0</x:v>
      </x:c>
      <x:c r="F328" s="810">
        <x:v>0</x:v>
      </x:c>
      <x:c r="G328" s="806">
        <x:v>0</x:v>
      </x:c>
      <x:c r="H328" s="805">
        <x:v>0</x:v>
      </x:c>
      <x:c r="I328" s="810">
        <x:v>0</x:v>
      </x:c>
      <x:c r="J328" s="806">
        <x:v>15655844</x:v>
      </x:c>
      <x:c r="K328" s="805">
        <x:v>0</x:v>
      </x:c>
      <x:c r="L328" s="804">
        <x:v>-15655844</x:v>
      </x:c>
      <x:c r="M328" s="812" t="s">
        <x:v>1390</x:v>
      </x:c>
    </x:row>
    <x:row r="329" spans="1:13" s="689" customFormat="1" ht="22.5" customHeight="1">
      <x:c r="A329" s="749" t="s">
        <x:v>1387</x:v>
      </x:c>
      <x:c r="B329" s="811" t="s">
        <x:v>1295</x:v>
      </x:c>
      <x:c r="C329" s="683">
        <x:f>J329+K329+L329+G329+D329</x:f>
        <x:v>2210000</x:v>
      </x:c>
      <x:c r="D329" s="681">
        <x:f>SUM(D330:D332)</x:f>
        <x:v>0</x:v>
      </x:c>
      <x:c r="E329" s="680">
        <x:f>D329-F329</x:f>
        <x:v>0</x:v>
      </x:c>
      <x:c r="F329" s="682">
        <x:f t="shared" ref="F329:L329" si="63">SUM(F330:F332)</x:f>
        <x:v>0</x:v>
      </x:c>
      <x:c r="G329" s="681">
        <x:f t="shared" si="63"/>
        <x:v>1000000</x:v>
      </x:c>
      <x:c r="H329" s="680">
        <x:f t="shared" si="63"/>
        <x:v>0</x:v>
      </x:c>
      <x:c r="I329" s="682">
        <x:f t="shared" si="63"/>
        <x:v>1000000</x:v>
      </x:c>
      <x:c r="J329" s="681">
        <x:f t="shared" si="63"/>
        <x:v>210000</x:v>
      </x:c>
      <x:c r="K329" s="680">
        <x:f t="shared" si="63"/>
        <x:v>1000000</x:v>
      </x:c>
      <x:c r="L329" s="679">
        <x:f t="shared" si="63"/>
        <x:v>0</x:v>
      </x:c>
      <x:c r="M329" s="801" t="s">
        <x:v>1708</x:v>
      </x:c>
    </x:row>
    <x:row r="330" spans="1:13" s="689" customFormat="1" ht="22.5" customHeight="1">
      <x:c r="A330" s="800" t="s">
        <x:v>1685</x:v>
      </x:c>
      <x:c r="B330" s="793" t="s">
        <x:v>117</x:v>
      </x:c>
      <x:c r="C330" s="676">
        <x:f>J330+K330+L330+G330+D330</x:f>
        <x:v>2200000</x:v>
      </x:c>
      <x:c r="D330" s="674">
        <x:v>0</x:v>
      </x:c>
      <x:c r="E330" s="673">
        <x:v>0</x:v>
      </x:c>
      <x:c r="F330" s="675">
        <x:v>0</x:v>
      </x:c>
      <x:c r="G330" s="674">
        <x:v>1000000</x:v>
      </x:c>
      <x:c r="H330" s="673">
        <x:v>0</x:v>
      </x:c>
      <x:c r="I330" s="675">
        <x:f>G330-H330</x:f>
        <x:v>1000000</x:v>
      </x:c>
      <x:c r="J330" s="674">
        <x:v>200000</x:v>
      </x:c>
      <x:c r="K330" s="673">
        <x:v>1000000</x:v>
      </x:c>
      <x:c r="L330" s="672">
        <x:v>0</x:v>
      </x:c>
      <x:c r="M330" s="791" t="s">
        <x:v>1825</x:v>
      </x:c>
    </x:row>
    <x:row r="331" spans="1:13" s="689" customFormat="1" ht="22.5" customHeight="1">
      <x:c r="A331" s="713" t="s">
        <x:v>1828</x:v>
      </x:c>
      <x:c r="B331" s="779" t="s">
        <x:v>646</x:v>
      </x:c>
      <x:c r="C331" s="661">
        <x:f>J331+K331+L331+G331+D331</x:f>
        <x:v>10000</x:v>
      </x:c>
      <x:c r="D331" s="660">
        <x:v>0</x:v>
      </x:c>
      <x:c r="E331" s="659">
        <x:v>0</x:v>
      </x:c>
      <x:c r="F331" s="671">
        <x:v>0</x:v>
      </x:c>
      <x:c r="G331" s="660">
        <x:v>0</x:v>
      </x:c>
      <x:c r="H331" s="659">
        <x:v>0</x:v>
      </x:c>
      <x:c r="I331" s="671">
        <x:v>0</x:v>
      </x:c>
      <x:c r="J331" s="660">
        <x:v>10000</x:v>
      </x:c>
      <x:c r="K331" s="659">
        <x:v>0</x:v>
      </x:c>
      <x:c r="L331" s="658">
        <x:v>0</x:v>
      </x:c>
      <x:c r="M331" s="791" t="s">
        <x:v>1716</x:v>
      </x:c>
    </x:row>
    <x:row r="332" spans="1:13" s="689" customFormat="1" ht="22.5" customHeight="1">
      <x:c r="A332" s="713" t="s">
        <x:v>1827</x:v>
      </x:c>
      <x:c r="B332" s="709"/>
      <x:c r="C332" s="661"/>
      <x:c r="D332" s="660"/>
      <x:c r="E332" s="659"/>
      <x:c r="F332" s="671"/>
      <x:c r="G332" s="660"/>
      <x:c r="H332" s="659"/>
      <x:c r="I332" s="671"/>
      <x:c r="J332" s="660"/>
      <x:c r="K332" s="659"/>
      <x:c r="L332" s="658"/>
      <x:c r="M332" s="791" t="s">
        <x:v>16</x:v>
      </x:c>
    </x:row>
    <x:row r="333" spans="1:13" s="689" customFormat="1" ht="22.5" customHeight="1">
      <x:c r="A333" s="713" t="s">
        <x:v>1388</x:v>
      </x:c>
      <x:c r="B333" s="799" t="s">
        <x:v>1294</x:v>
      </x:c>
      <x:c r="C333" s="798">
        <x:f>J333+K333+L333+G333+D333</x:f>
        <x:v>2210000</x:v>
      </x:c>
      <x:c r="D333" s="796">
        <x:f>SUM(D334:D335)</x:f>
        <x:v>0</x:v>
      </x:c>
      <x:c r="E333" s="795">
        <x:f>D333-F333</x:f>
        <x:v>0</x:v>
      </x:c>
      <x:c r="F333" s="797">
        <x:f t="shared" ref="F333:L333" si="64">SUM(F334:F335)</x:f>
        <x:v>0</x:v>
      </x:c>
      <x:c r="G333" s="796">
        <x:f t="shared" si="64"/>
        <x:v>1000000</x:v>
      </x:c>
      <x:c r="H333" s="795">
        <x:f t="shared" si="64"/>
        <x:v>300000</x:v>
      </x:c>
      <x:c r="I333" s="797">
        <x:f t="shared" si="64"/>
        <x:v>700000</x:v>
      </x:c>
      <x:c r="J333" s="796">
        <x:f t="shared" si="64"/>
        <x:v>50000</x:v>
      </x:c>
      <x:c r="K333" s="795">
        <x:f t="shared" si="64"/>
        <x:v>600000</x:v>
      </x:c>
      <x:c r="L333" s="794">
        <x:f t="shared" si="64"/>
        <x:v>560000</x:v>
      </x:c>
      <x:c r="M333" s="791"/>
    </x:row>
    <x:row r="334" spans="1:13" s="689" customFormat="1" ht="22.5" customHeight="1">
      <x:c r="A334" s="713" t="s">
        <x:v>1817</x:v>
      </x:c>
      <x:c r="B334" s="793" t="s">
        <x:v>117</x:v>
      </x:c>
      <x:c r="C334" s="676">
        <x:f>J334+K334+L334+G334+D334</x:f>
        <x:v>2200000</x:v>
      </x:c>
      <x:c r="D334" s="674">
        <x:v>0</x:v>
      </x:c>
      <x:c r="E334" s="673">
        <x:v>0</x:v>
      </x:c>
      <x:c r="F334" s="675">
        <x:v>0</x:v>
      </x:c>
      <x:c r="G334" s="674">
        <x:v>1000000</x:v>
      </x:c>
      <x:c r="H334" s="673">
        <x:v>300000</x:v>
      </x:c>
      <x:c r="I334" s="675">
        <x:f>G334-H334</x:f>
        <x:v>700000</x:v>
      </x:c>
      <x:c r="J334" s="674">
        <x:f>200000-160000</x:f>
        <x:v>40000</x:v>
      </x:c>
      <x:c r="K334" s="673">
        <x:v>600000</x:v>
      </x:c>
      <x:c r="L334" s="672">
        <x:v>560000</x:v>
      </x:c>
      <x:c r="M334" s="791"/>
    </x:row>
    <x:row r="335" spans="1:13" s="689" customFormat="1" ht="22.5" customHeight="1">
      <x:c r="A335" s="713" t="s">
        <x:v>1826</x:v>
      </x:c>
      <x:c r="B335" s="792" t="s">
        <x:v>646</x:v>
      </x:c>
      <x:c r="C335" s="655">
        <x:f>J335+K335+L335+G335+D335</x:f>
        <x:v>10000</x:v>
      </x:c>
      <x:c r="D335" s="654">
        <x:v>0</x:v>
      </x:c>
      <x:c r="E335" s="653">
        <x:v>0</x:v>
      </x:c>
      <x:c r="F335" s="687">
        <x:v>0</x:v>
      </x:c>
      <x:c r="G335" s="654">
        <x:v>0</x:v>
      </x:c>
      <x:c r="H335" s="653">
        <x:v>0</x:v>
      </x:c>
      <x:c r="I335" s="687">
        <x:v>0</x:v>
      </x:c>
      <x:c r="J335" s="654">
        <x:v>10000</x:v>
      </x:c>
      <x:c r="K335" s="653">
        <x:v>0</x:v>
      </x:c>
      <x:c r="L335" s="652">
        <x:v>0</x:v>
      </x:c>
      <x:c r="M335" s="791"/>
    </x:row>
    <x:row r="336" spans="1:13" s="689" customFormat="1" ht="22.5" customHeight="1">
      <x:c r="A336" s="776" t="s">
        <x:v>1683</x:v>
      </x:c>
      <x:c r="B336" s="808" t="s">
        <x:v>456</x:v>
      </x:c>
      <x:c r="C336" s="807">
        <x:f t="shared" ref="C336:L336" si="65">C333-C329</x:f>
        <x:v>0</x:v>
      </x:c>
      <x:c r="D336" s="806">
        <x:f t="shared" si="65"/>
        <x:v>0</x:v>
      </x:c>
      <x:c r="E336" s="805">
        <x:f t="shared" si="65"/>
        <x:v>0</x:v>
      </x:c>
      <x:c r="F336" s="810">
        <x:f t="shared" si="65"/>
        <x:v>0</x:v>
      </x:c>
      <x:c r="G336" s="806">
        <x:f t="shared" si="65"/>
        <x:v>0</x:v>
      </x:c>
      <x:c r="H336" s="805">
        <x:f t="shared" si="65"/>
        <x:v>300000</x:v>
      </x:c>
      <x:c r="I336" s="804">
        <x:f t="shared" si="65"/>
        <x:v>-300000</x:v>
      </x:c>
      <x:c r="J336" s="806">
        <x:f t="shared" si="65"/>
        <x:v>-160000</x:v>
      </x:c>
      <x:c r="K336" s="805">
        <x:f t="shared" si="65"/>
        <x:v>-400000</x:v>
      </x:c>
      <x:c r="L336" s="804">
        <x:f t="shared" si="65"/>
        <x:v>560000</x:v>
      </x:c>
      <x:c r="M336" s="790" t="s">
        <x:v>1386</x:v>
      </x:c>
    </x:row>
    <x:row r="337" spans="1:13" s="803" customFormat="1" ht="22.5" customHeight="1">
      <x:c r="A337" s="749" t="s">
        <x:v>1370</x:v>
      </x:c>
      <x:c r="B337" s="802" t="s">
        <x:v>1295</x:v>
      </x:c>
      <x:c r="C337" s="683">
        <x:f>SUM(C338:C340)</x:f>
        <x:v>4210000</x:v>
      </x:c>
      <x:c r="D337" s="681">
        <x:f>SUM(D338:D340)</x:f>
        <x:v>0</x:v>
      </x:c>
      <x:c r="E337" s="680">
        <x:f>D337-F337</x:f>
        <x:v>0</x:v>
      </x:c>
      <x:c r="F337" s="679">
        <x:f t="shared" ref="F337:L337" si="66">SUM(F338:F340)</x:f>
        <x:v>0</x:v>
      </x:c>
      <x:c r="G337" s="681">
        <x:f t="shared" si="66"/>
        <x:v>0</x:v>
      </x:c>
      <x:c r="H337" s="680">
        <x:f t="shared" si="66"/>
        <x:v>0</x:v>
      </x:c>
      <x:c r="I337" s="679">
        <x:f t="shared" si="66"/>
        <x:v>0</x:v>
      </x:c>
      <x:c r="J337" s="681">
        <x:f t="shared" si="66"/>
        <x:v>810000</x:v>
      </x:c>
      <x:c r="K337" s="680">
        <x:f t="shared" si="66"/>
        <x:v>2100000</x:v>
      </x:c>
      <x:c r="L337" s="679">
        <x:f t="shared" si="66"/>
        <x:v>1300000</x:v>
      </x:c>
      <x:c r="M337" s="801" t="s">
        <x:v>1668</x:v>
      </x:c>
    </x:row>
    <x:row r="338" spans="1:13" s="803" customFormat="1" ht="22.5" customHeight="1">
      <x:c r="A338" s="800" t="s">
        <x:v>1693</x:v>
      </x:c>
      <x:c r="B338" s="780" t="s">
        <x:v>117</x:v>
      </x:c>
      <x:c r="C338" s="676">
        <x:f>J338+K338+L338+G338+D338</x:f>
        <x:v>4200000</x:v>
      </x:c>
      <x:c r="D338" s="674">
        <x:v>0</x:v>
      </x:c>
      <x:c r="E338" s="673">
        <x:v>0</x:v>
      </x:c>
      <x:c r="F338" s="672">
        <x:v>0</x:v>
      </x:c>
      <x:c r="G338" s="674">
        <x:v>0</x:v>
      </x:c>
      <x:c r="H338" s="673">
        <x:v>0</x:v>
      </x:c>
      <x:c r="I338" s="672">
        <x:v>0</x:v>
      </x:c>
      <x:c r="J338" s="674">
        <x:v>800000</x:v>
      </x:c>
      <x:c r="K338" s="673">
        <x:v>2100000</x:v>
      </x:c>
      <x:c r="L338" s="672">
        <x:v>1300000</x:v>
      </x:c>
      <x:c r="M338" s="791" t="s">
        <x:v>1825</x:v>
      </x:c>
    </x:row>
    <x:row r="339" spans="1:13" s="803" customFormat="1" ht="22.5" customHeight="1">
      <x:c r="A339" s="713" t="s">
        <x:v>1715</x:v>
      </x:c>
      <x:c r="B339" s="779" t="s">
        <x:v>646</x:v>
      </x:c>
      <x:c r="C339" s="661">
        <x:f>J339+K339+L339+G339+D339</x:f>
        <x:v>10000</x:v>
      </x:c>
      <x:c r="D339" s="660">
        <x:v>0</x:v>
      </x:c>
      <x:c r="E339" s="659">
        <x:v>0</x:v>
      </x:c>
      <x:c r="F339" s="658">
        <x:v>0</x:v>
      </x:c>
      <x:c r="G339" s="660">
        <x:v>0</x:v>
      </x:c>
      <x:c r="H339" s="659">
        <x:v>0</x:v>
      </x:c>
      <x:c r="I339" s="658">
        <x:v>0</x:v>
      </x:c>
      <x:c r="J339" s="660">
        <x:v>10000</x:v>
      </x:c>
      <x:c r="K339" s="659">
        <x:v>0</x:v>
      </x:c>
      <x:c r="L339" s="658">
        <x:v>0</x:v>
      </x:c>
      <x:c r="M339" s="791" t="s">
        <x:v>1716</x:v>
      </x:c>
    </x:row>
    <x:row r="340" spans="1:13" s="803" customFormat="1" ht="22.5" customHeight="1">
      <x:c r="A340" s="713" t="s">
        <x:v>1815</x:v>
      </x:c>
      <x:c r="B340" s="709"/>
      <x:c r="C340" s="661"/>
      <x:c r="D340" s="660"/>
      <x:c r="E340" s="659"/>
      <x:c r="F340" s="658"/>
      <x:c r="G340" s="660"/>
      <x:c r="H340" s="659"/>
      <x:c r="I340" s="658"/>
      <x:c r="J340" s="660"/>
      <x:c r="K340" s="659"/>
      <x:c r="L340" s="658"/>
      <x:c r="M340" s="791" t="s">
        <x:v>16</x:v>
      </x:c>
    </x:row>
    <x:row r="341" spans="1:13" s="803" customFormat="1" ht="22.5" customHeight="1">
      <x:c r="A341" s="713" t="s">
        <x:v>1363</x:v>
      </x:c>
      <x:c r="B341" s="799" t="s">
        <x:v>1294</x:v>
      </x:c>
      <x:c r="C341" s="798">
        <x:f>SUM(C342:C344)</x:f>
        <x:v>4210000</x:v>
      </x:c>
      <x:c r="D341" s="796">
        <x:f>SUM(D342:D344)</x:f>
        <x:v>0</x:v>
      </x:c>
      <x:c r="E341" s="795">
        <x:f>D341-F341</x:f>
        <x:v>0</x:v>
      </x:c>
      <x:c r="F341" s="794">
        <x:f t="shared" ref="F341:L341" si="67">SUM(F342:F344)</x:f>
        <x:v>0</x:v>
      </x:c>
      <x:c r="G341" s="796">
        <x:f t="shared" si="67"/>
        <x:v>0</x:v>
      </x:c>
      <x:c r="H341" s="795">
        <x:f t="shared" si="67"/>
        <x:v>0</x:v>
      </x:c>
      <x:c r="I341" s="794">
        <x:f t="shared" si="67"/>
        <x:v>0</x:v>
      </x:c>
      <x:c r="J341" s="796">
        <x:f t="shared" si="67"/>
        <x:v>170000</x:v>
      </x:c>
      <x:c r="K341" s="795">
        <x:f t="shared" si="67"/>
        <x:v>2100000</x:v>
      </x:c>
      <x:c r="L341" s="794">
        <x:f t="shared" si="67"/>
        <x:v>1940000</x:v>
      </x:c>
      <x:c r="M341" s="791"/>
    </x:row>
    <x:row r="342" spans="1:13" s="803" customFormat="1" ht="22.5" customHeight="1">
      <x:c r="A342" s="713" t="s">
        <x:v>1384</x:v>
      </x:c>
      <x:c r="B342" s="793" t="s">
        <x:v>117</x:v>
      </x:c>
      <x:c r="C342" s="676">
        <x:f>J342+K342+L342+G342+D342</x:f>
        <x:v>4200000</x:v>
      </x:c>
      <x:c r="D342" s="674">
        <x:v>0</x:v>
      </x:c>
      <x:c r="E342" s="673">
        <x:v>0</x:v>
      </x:c>
      <x:c r="F342" s="672">
        <x:v>0</x:v>
      </x:c>
      <x:c r="G342" s="674">
        <x:v>0</x:v>
      </x:c>
      <x:c r="H342" s="673">
        <x:v>0</x:v>
      </x:c>
      <x:c r="I342" s="672">
        <x:v>0</x:v>
      </x:c>
      <x:c r="J342" s="674">
        <x:f>800000-640000</x:f>
        <x:v>160000</x:v>
      </x:c>
      <x:c r="K342" s="673">
        <x:v>2100000</x:v>
      </x:c>
      <x:c r="L342" s="672">
        <x:v>1940000</x:v>
      </x:c>
      <x:c r="M342" s="791"/>
    </x:row>
    <x:row r="343" spans="1:13" s="803" customFormat="1" ht="22.5" customHeight="1">
      <x:c r="A343" s="713" t="s">
        <x:v>1812</x:v>
      </x:c>
      <x:c r="B343" s="779" t="s">
        <x:v>646</x:v>
      </x:c>
      <x:c r="C343" s="661">
        <x:f>J343+K343+L343+G343+D343</x:f>
        <x:v>10000</x:v>
      </x:c>
      <x:c r="D343" s="660">
        <x:v>0</x:v>
      </x:c>
      <x:c r="E343" s="659">
        <x:v>0</x:v>
      </x:c>
      <x:c r="F343" s="658">
        <x:v>0</x:v>
      </x:c>
      <x:c r="G343" s="660">
        <x:v>0</x:v>
      </x:c>
      <x:c r="H343" s="659">
        <x:v>0</x:v>
      </x:c>
      <x:c r="I343" s="658">
        <x:v>0</x:v>
      </x:c>
      <x:c r="J343" s="660">
        <x:v>10000</x:v>
      </x:c>
      <x:c r="K343" s="659">
        <x:v>0</x:v>
      </x:c>
      <x:c r="L343" s="658">
        <x:v>0</x:v>
      </x:c>
      <x:c r="M343" s="791"/>
    </x:row>
    <x:row r="344" spans="1:13" s="803" customFormat="1" ht="22.5" customHeight="1">
      <x:c r="A344" s="710"/>
      <x:c r="B344" s="792"/>
      <x:c r="C344" s="655"/>
      <x:c r="D344" s="654"/>
      <x:c r="E344" s="653"/>
      <x:c r="F344" s="652"/>
      <x:c r="G344" s="654"/>
      <x:c r="H344" s="653"/>
      <x:c r="I344" s="652"/>
      <x:c r="J344" s="654"/>
      <x:c r="K344" s="653"/>
      <x:c r="L344" s="652"/>
      <x:c r="M344" s="791"/>
    </x:row>
    <x:row r="345" spans="1:13" s="803" customFormat="1" ht="22.5" customHeight="1">
      <x:c r="A345" s="776" t="s">
        <x:v>1683</x:v>
      </x:c>
      <x:c r="B345" s="808" t="s">
        <x:v>456</x:v>
      </x:c>
      <x:c r="C345" s="807">
        <x:f t="shared" ref="C345:L345" si="68">C341-C337</x:f>
        <x:v>0</x:v>
      </x:c>
      <x:c r="D345" s="806">
        <x:f t="shared" si="68"/>
        <x:v>0</x:v>
      </x:c>
      <x:c r="E345" s="805">
        <x:f t="shared" si="68"/>
        <x:v>0</x:v>
      </x:c>
      <x:c r="F345" s="804">
        <x:f t="shared" si="68"/>
        <x:v>0</x:v>
      </x:c>
      <x:c r="G345" s="806">
        <x:f t="shared" si="68"/>
        <x:v>0</x:v>
      </x:c>
      <x:c r="H345" s="805">
        <x:f t="shared" si="68"/>
        <x:v>0</x:v>
      </x:c>
      <x:c r="I345" s="804">
        <x:f t="shared" si="68"/>
        <x:v>0</x:v>
      </x:c>
      <x:c r="J345" s="806">
        <x:f t="shared" si="68"/>
        <x:v>-640000</x:v>
      </x:c>
      <x:c r="K345" s="805">
        <x:f t="shared" si="68"/>
        <x:v>0</x:v>
      </x:c>
      <x:c r="L345" s="804">
        <x:f t="shared" si="68"/>
        <x:v>640000</x:v>
      </x:c>
      <x:c r="M345" s="790" t="s">
        <x:v>1360</x:v>
      </x:c>
    </x:row>
    <x:row r="346" spans="1:13" s="803" customFormat="1" ht="22.5" customHeight="1">
      <x:c r="A346" s="749" t="s">
        <x:v>1394</x:v>
      </x:c>
      <x:c r="B346" s="802" t="s">
        <x:v>1295</x:v>
      </x:c>
      <x:c r="C346" s="683">
        <x:f>SUM(C347:C349)</x:f>
        <x:v>1155000</x:v>
      </x:c>
      <x:c r="D346" s="681">
        <x:f>SUM(D347:D349)</x:f>
        <x:v>0</x:v>
      </x:c>
      <x:c r="E346" s="680">
        <x:f>D346-F346</x:f>
        <x:v>0</x:v>
      </x:c>
      <x:c r="F346" s="679">
        <x:f t="shared" ref="F346:L346" si="69">SUM(F347:F349)</x:f>
        <x:v>0</x:v>
      </x:c>
      <x:c r="G346" s="681">
        <x:f t="shared" si="69"/>
        <x:v>0</x:v>
      </x:c>
      <x:c r="H346" s="680">
        <x:f t="shared" si="69"/>
        <x:v>0</x:v>
      </x:c>
      <x:c r="I346" s="679">
        <x:f t="shared" si="69"/>
        <x:v>0</x:v>
      </x:c>
      <x:c r="J346" s="681">
        <x:f t="shared" si="69"/>
        <x:v>205000</x:v>
      </x:c>
      <x:c r="K346" s="680">
        <x:f t="shared" si="69"/>
        <x:v>600000</x:v>
      </x:c>
      <x:c r="L346" s="679">
        <x:f t="shared" si="69"/>
        <x:v>350000</x:v>
      </x:c>
      <x:c r="M346" s="801" t="s">
        <x:v>1668</x:v>
      </x:c>
    </x:row>
    <x:row r="347" spans="1:13" s="803" customFormat="1" ht="22.5" customHeight="1">
      <x:c r="A347" s="809" t="s">
        <x:v>1685</x:v>
      </x:c>
      <x:c r="B347" s="780" t="s">
        <x:v>117</x:v>
      </x:c>
      <x:c r="C347" s="676">
        <x:f>J347+K347+L347+G347+D347</x:f>
        <x:v>1150000</x:v>
      </x:c>
      <x:c r="D347" s="674">
        <x:v>0</x:v>
      </x:c>
      <x:c r="E347" s="673">
        <x:v>0</x:v>
      </x:c>
      <x:c r="F347" s="672">
        <x:v>0</x:v>
      </x:c>
      <x:c r="G347" s="674">
        <x:v>0</x:v>
      </x:c>
      <x:c r="H347" s="673">
        <x:v>0</x:v>
      </x:c>
      <x:c r="I347" s="672">
        <x:v>0</x:v>
      </x:c>
      <x:c r="J347" s="674">
        <x:v>200000</x:v>
      </x:c>
      <x:c r="K347" s="673">
        <x:v>600000</x:v>
      </x:c>
      <x:c r="L347" s="672">
        <x:v>350000</x:v>
      </x:c>
      <x:c r="M347" s="791" t="s">
        <x:v>1825</x:v>
      </x:c>
    </x:row>
    <x:row r="348" spans="1:13" s="803" customFormat="1" ht="22.5" customHeight="1">
      <x:c r="A348" s="713" t="s">
        <x:v>1805</x:v>
      </x:c>
      <x:c r="B348" s="779" t="s">
        <x:v>646</x:v>
      </x:c>
      <x:c r="C348" s="661">
        <x:f>J348+K348+L348+G348+D348</x:f>
        <x:v>5000</x:v>
      </x:c>
      <x:c r="D348" s="660">
        <x:v>0</x:v>
      </x:c>
      <x:c r="E348" s="659">
        <x:v>0</x:v>
      </x:c>
      <x:c r="F348" s="658">
        <x:v>0</x:v>
      </x:c>
      <x:c r="G348" s="660">
        <x:v>0</x:v>
      </x:c>
      <x:c r="H348" s="659">
        <x:v>0</x:v>
      </x:c>
      <x:c r="I348" s="658">
        <x:v>0</x:v>
      </x:c>
      <x:c r="J348" s="660">
        <x:v>5000</x:v>
      </x:c>
      <x:c r="K348" s="659">
        <x:v>0</x:v>
      </x:c>
      <x:c r="L348" s="658">
        <x:v>0</x:v>
      </x:c>
      <x:c r="M348" s="791" t="s">
        <x:v>1716</x:v>
      </x:c>
    </x:row>
    <x:row r="349" spans="1:13" s="803" customFormat="1" ht="22.5" customHeight="1">
      <x:c r="A349" s="713" t="s">
        <x:v>1385</x:v>
      </x:c>
      <x:c r="B349" s="709"/>
      <x:c r="C349" s="661"/>
      <x:c r="D349" s="660"/>
      <x:c r="E349" s="659"/>
      <x:c r="F349" s="658"/>
      <x:c r="G349" s="660"/>
      <x:c r="H349" s="659"/>
      <x:c r="I349" s="658"/>
      <x:c r="J349" s="660"/>
      <x:c r="K349" s="659"/>
      <x:c r="L349" s="658"/>
      <x:c r="M349" s="791" t="s">
        <x:v>16</x:v>
      </x:c>
    </x:row>
    <x:row r="350" spans="1:13" s="803" customFormat="1" ht="22.5" customHeight="1">
      <x:c r="A350" s="713" t="s">
        <x:v>1384</x:v>
      </x:c>
      <x:c r="B350" s="799" t="s">
        <x:v>1294</x:v>
      </x:c>
      <x:c r="C350" s="798">
        <x:f>SUM(C351:C352)</x:f>
        <x:v>1155000</x:v>
      </x:c>
      <x:c r="D350" s="796">
        <x:f>SUM(D351:D352)</x:f>
        <x:v>0</x:v>
      </x:c>
      <x:c r="E350" s="795">
        <x:f>D350-F350</x:f>
        <x:v>0</x:v>
      </x:c>
      <x:c r="F350" s="794">
        <x:f t="shared" ref="F350:L350" si="70">SUM(F351:F352)</x:f>
        <x:v>0</x:v>
      </x:c>
      <x:c r="G350" s="796">
        <x:f t="shared" si="70"/>
        <x:v>0</x:v>
      </x:c>
      <x:c r="H350" s="795">
        <x:f t="shared" si="70"/>
        <x:v>0</x:v>
      </x:c>
      <x:c r="I350" s="794">
        <x:f t="shared" si="70"/>
        <x:v>0</x:v>
      </x:c>
      <x:c r="J350" s="796">
        <x:f t="shared" si="70"/>
        <x:v>45000</x:v>
      </x:c>
      <x:c r="K350" s="795">
        <x:f t="shared" si="70"/>
        <x:v>600000</x:v>
      </x:c>
      <x:c r="L350" s="794">
        <x:f t="shared" si="70"/>
        <x:v>510000</x:v>
      </x:c>
      <x:c r="M350" s="791"/>
    </x:row>
    <x:row r="351" spans="1:13" s="803" customFormat="1" ht="22.5" customHeight="1">
      <x:c r="A351" s="713"/>
      <x:c r="B351" s="793" t="s">
        <x:v>117</x:v>
      </x:c>
      <x:c r="C351" s="676">
        <x:f>J351+K351+L351+G351+D351</x:f>
        <x:v>1150000</x:v>
      </x:c>
      <x:c r="D351" s="674">
        <x:v>0</x:v>
      </x:c>
      <x:c r="E351" s="673">
        <x:v>0</x:v>
      </x:c>
      <x:c r="F351" s="672">
        <x:v>0</x:v>
      </x:c>
      <x:c r="G351" s="674">
        <x:v>0</x:v>
      </x:c>
      <x:c r="H351" s="673">
        <x:v>0</x:v>
      </x:c>
      <x:c r="I351" s="672">
        <x:v>0</x:v>
      </x:c>
      <x:c r="J351" s="674">
        <x:f>200000-160000</x:f>
        <x:v>40000</x:v>
      </x:c>
      <x:c r="K351" s="673">
        <x:v>600000</x:v>
      </x:c>
      <x:c r="L351" s="672">
        <x:v>510000</x:v>
      </x:c>
      <x:c r="M351" s="791"/>
    </x:row>
    <x:row r="352" spans="1:13" s="803" customFormat="1" ht="22.5" customHeight="1">
      <x:c r="A352" s="713" t="s">
        <x:v>1812</x:v>
      </x:c>
      <x:c r="B352" s="792" t="s">
        <x:v>646</x:v>
      </x:c>
      <x:c r="C352" s="655">
        <x:f>J352+K352+L352+G352+D352</x:f>
        <x:v>5000</x:v>
      </x:c>
      <x:c r="D352" s="654">
        <x:v>0</x:v>
      </x:c>
      <x:c r="E352" s="653">
        <x:v>0</x:v>
      </x:c>
      <x:c r="F352" s="652">
        <x:v>0</x:v>
      </x:c>
      <x:c r="G352" s="654">
        <x:v>0</x:v>
      </x:c>
      <x:c r="H352" s="653">
        <x:v>0</x:v>
      </x:c>
      <x:c r="I352" s="652">
        <x:v>0</x:v>
      </x:c>
      <x:c r="J352" s="654">
        <x:v>5000</x:v>
      </x:c>
      <x:c r="K352" s="653">
        <x:v>0</x:v>
      </x:c>
      <x:c r="L352" s="652">
        <x:v>0</x:v>
      </x:c>
      <x:c r="M352" s="791"/>
    </x:row>
    <x:row r="353" spans="1:13" s="803" customFormat="1" ht="22.5" customHeight="1">
      <x:c r="A353" s="776" t="s">
        <x:v>1683</x:v>
      </x:c>
      <x:c r="B353" s="808" t="s">
        <x:v>456</x:v>
      </x:c>
      <x:c r="C353" s="807">
        <x:f t="shared" ref="C353:L353" si="71">C350-C346</x:f>
        <x:v>0</x:v>
      </x:c>
      <x:c r="D353" s="806">
        <x:f t="shared" si="71"/>
        <x:v>0</x:v>
      </x:c>
      <x:c r="E353" s="805">
        <x:f t="shared" si="71"/>
        <x:v>0</x:v>
      </x:c>
      <x:c r="F353" s="804">
        <x:f t="shared" si="71"/>
        <x:v>0</x:v>
      </x:c>
      <x:c r="G353" s="806">
        <x:f t="shared" si="71"/>
        <x:v>0</x:v>
      </x:c>
      <x:c r="H353" s="805">
        <x:f t="shared" si="71"/>
        <x:v>0</x:v>
      </x:c>
      <x:c r="I353" s="804">
        <x:f t="shared" si="71"/>
        <x:v>0</x:v>
      </x:c>
      <x:c r="J353" s="806">
        <x:f t="shared" si="71"/>
        <x:v>-160000</x:v>
      </x:c>
      <x:c r="K353" s="805">
        <x:f t="shared" si="71"/>
        <x:v>0</x:v>
      </x:c>
      <x:c r="L353" s="804">
        <x:f t="shared" si="71"/>
        <x:v>160000</x:v>
      </x:c>
      <x:c r="M353" s="790" t="s">
        <x:v>1360</x:v>
      </x:c>
    </x:row>
    <x:row r="354" spans="1:13" s="689" customFormat="1" ht="20.25" customHeight="1">
      <x:c r="A354" s="749" t="s">
        <x:v>1366</x:v>
      </x:c>
      <x:c r="B354" s="802" t="s">
        <x:v>1295</x:v>
      </x:c>
      <x:c r="C354" s="683">
        <x:f>SUM(C355:C357)</x:f>
        <x:v>1105000</x:v>
      </x:c>
      <x:c r="D354" s="681">
        <x:f>SUM(D355:D357)</x:f>
        <x:v>0</x:v>
      </x:c>
      <x:c r="E354" s="680">
        <x:f>D354-F354</x:f>
        <x:v>0</x:v>
      </x:c>
      <x:c r="F354" s="682">
        <x:f t="shared" ref="F354:L354" si="72">SUM(F355:F357)</x:f>
        <x:v>0</x:v>
      </x:c>
      <x:c r="G354" s="681">
        <x:f t="shared" si="72"/>
        <x:v>0</x:v>
      </x:c>
      <x:c r="H354" s="680">
        <x:f t="shared" si="72"/>
        <x:v>0</x:v>
      </x:c>
      <x:c r="I354" s="679">
        <x:f t="shared" si="72"/>
        <x:v>0</x:v>
      </x:c>
      <x:c r="J354" s="681">
        <x:f t="shared" si="72"/>
        <x:v>205000</x:v>
      </x:c>
      <x:c r="K354" s="680">
        <x:f t="shared" si="72"/>
        <x:v>600000</x:v>
      </x:c>
      <x:c r="L354" s="679">
        <x:f t="shared" si="72"/>
        <x:v>300000</x:v>
      </x:c>
      <x:c r="M354" s="801" t="s">
        <x:v>1668</x:v>
      </x:c>
    </x:row>
    <x:row r="355" spans="1:13" s="689" customFormat="1" ht="20.25" customHeight="1">
      <x:c r="A355" s="800" t="s">
        <x:v>1684</x:v>
      </x:c>
      <x:c r="B355" s="780" t="s">
        <x:v>117</x:v>
      </x:c>
      <x:c r="C355" s="676">
        <x:f>J355+K355+L355+G355+D355</x:f>
        <x:v>1100000</x:v>
      </x:c>
      <x:c r="D355" s="674">
        <x:v>0</x:v>
      </x:c>
      <x:c r="E355" s="673">
        <x:v>0</x:v>
      </x:c>
      <x:c r="F355" s="675">
        <x:v>0</x:v>
      </x:c>
      <x:c r="G355" s="674">
        <x:v>0</x:v>
      </x:c>
      <x:c r="H355" s="673">
        <x:v>0</x:v>
      </x:c>
      <x:c r="I355" s="672">
        <x:v>0</x:v>
      </x:c>
      <x:c r="J355" s="674">
        <x:v>200000</x:v>
      </x:c>
      <x:c r="K355" s="673">
        <x:v>600000</x:v>
      </x:c>
      <x:c r="L355" s="672">
        <x:v>300000</x:v>
      </x:c>
      <x:c r="M355" s="791" t="s">
        <x:v>1825</x:v>
      </x:c>
    </x:row>
    <x:row r="356" spans="1:13" s="689" customFormat="1" ht="20.25" customHeight="1">
      <x:c r="A356" s="713" t="s">
        <x:v>1814</x:v>
      </x:c>
      <x:c r="B356" s="779" t="s">
        <x:v>646</x:v>
      </x:c>
      <x:c r="C356" s="661">
        <x:f>J356+K356+L356+G356+D356</x:f>
        <x:v>5000</x:v>
      </x:c>
      <x:c r="D356" s="660">
        <x:v>0</x:v>
      </x:c>
      <x:c r="E356" s="659">
        <x:v>0</x:v>
      </x:c>
      <x:c r="F356" s="671">
        <x:v>0</x:v>
      </x:c>
      <x:c r="G356" s="660">
        <x:v>0</x:v>
      </x:c>
      <x:c r="H356" s="659">
        <x:v>0</x:v>
      </x:c>
      <x:c r="I356" s="658">
        <x:v>0</x:v>
      </x:c>
      <x:c r="J356" s="660">
        <x:v>5000</x:v>
      </x:c>
      <x:c r="K356" s="659">
        <x:v>0</x:v>
      </x:c>
      <x:c r="L356" s="658">
        <x:v>0</x:v>
      </x:c>
      <x:c r="M356" s="791" t="s">
        <x:v>1716</x:v>
      </x:c>
    </x:row>
    <x:row r="357" spans="1:13" s="689" customFormat="1" ht="20.25" customHeight="1">
      <x:c r="A357" s="713" t="s">
        <x:v>1813</x:v>
      </x:c>
      <x:c r="B357" s="709"/>
      <x:c r="C357" s="661"/>
      <x:c r="D357" s="660"/>
      <x:c r="E357" s="659"/>
      <x:c r="F357" s="671"/>
      <x:c r="G357" s="660"/>
      <x:c r="H357" s="659"/>
      <x:c r="I357" s="658"/>
      <x:c r="J357" s="660"/>
      <x:c r="K357" s="659"/>
      <x:c r="L357" s="658"/>
      <x:c r="M357" s="791" t="s">
        <x:v>16</x:v>
      </x:c>
    </x:row>
    <x:row r="358" spans="1:13" s="689" customFormat="1" ht="20.25" customHeight="1">
      <x:c r="A358" s="713" t="s">
        <x:v>1384</x:v>
      </x:c>
      <x:c r="B358" s="799" t="s">
        <x:v>1294</x:v>
      </x:c>
      <x:c r="C358" s="798">
        <x:f>SUM(C359:C360)</x:f>
        <x:v>1105000</x:v>
      </x:c>
      <x:c r="D358" s="796">
        <x:f>SUM(D359:D360)</x:f>
        <x:v>0</x:v>
      </x:c>
      <x:c r="E358" s="795">
        <x:f>D358-F358</x:f>
        <x:v>0</x:v>
      </x:c>
      <x:c r="F358" s="797">
        <x:f t="shared" ref="F358:L358" si="73">SUM(F359:F360)</x:f>
        <x:v>0</x:v>
      </x:c>
      <x:c r="G358" s="796">
        <x:f t="shared" si="73"/>
        <x:v>0</x:v>
      </x:c>
      <x:c r="H358" s="795">
        <x:f t="shared" si="73"/>
        <x:v>0</x:v>
      </x:c>
      <x:c r="I358" s="794">
        <x:f t="shared" si="73"/>
        <x:v>0</x:v>
      </x:c>
      <x:c r="J358" s="796">
        <x:f t="shared" si="73"/>
        <x:v>45000</x:v>
      </x:c>
      <x:c r="K358" s="795">
        <x:f t="shared" si="73"/>
        <x:v>600000</x:v>
      </x:c>
      <x:c r="L358" s="794">
        <x:f t="shared" si="73"/>
        <x:v>460000</x:v>
      </x:c>
      <x:c r="M358" s="791"/>
    </x:row>
    <x:row r="359" spans="1:13" s="689" customFormat="1" ht="20.25" customHeight="1">
      <x:c r="A359" s="713"/>
      <x:c r="B359" s="793" t="s">
        <x:v>117</x:v>
      </x:c>
      <x:c r="C359" s="676">
        <x:f>J359+K359+L359+G359+D359</x:f>
        <x:v>1100000</x:v>
      </x:c>
      <x:c r="D359" s="674">
        <x:v>0</x:v>
      </x:c>
      <x:c r="E359" s="673">
        <x:v>0</x:v>
      </x:c>
      <x:c r="F359" s="675">
        <x:v>0</x:v>
      </x:c>
      <x:c r="G359" s="674">
        <x:v>0</x:v>
      </x:c>
      <x:c r="H359" s="673">
        <x:v>0</x:v>
      </x:c>
      <x:c r="I359" s="672">
        <x:v>0</x:v>
      </x:c>
      <x:c r="J359" s="674">
        <x:f>200000-160000</x:f>
        <x:v>40000</x:v>
      </x:c>
      <x:c r="K359" s="673">
        <x:v>600000</x:v>
      </x:c>
      <x:c r="L359" s="672">
        <x:v>460000</x:v>
      </x:c>
      <x:c r="M359" s="791"/>
    </x:row>
    <x:row r="360" spans="1:13" s="689" customFormat="1" ht="20.25" customHeight="1">
      <x:c r="A360" s="713" t="s">
        <x:v>1812</x:v>
      </x:c>
      <x:c r="B360" s="792" t="s">
        <x:v>646</x:v>
      </x:c>
      <x:c r="C360" s="655">
        <x:f>J360+K360+L360+G360+D360</x:f>
        <x:v>5000</x:v>
      </x:c>
      <x:c r="D360" s="654">
        <x:v>0</x:v>
      </x:c>
      <x:c r="E360" s="653">
        <x:v>0</x:v>
      </x:c>
      <x:c r="F360" s="687">
        <x:v>0</x:v>
      </x:c>
      <x:c r="G360" s="654">
        <x:v>0</x:v>
      </x:c>
      <x:c r="H360" s="653">
        <x:v>0</x:v>
      </x:c>
      <x:c r="I360" s="652">
        <x:v>0</x:v>
      </x:c>
      <x:c r="J360" s="654">
        <x:v>5000</x:v>
      </x:c>
      <x:c r="K360" s="653">
        <x:v>0</x:v>
      </x:c>
      <x:c r="L360" s="652">
        <x:v>0</x:v>
      </x:c>
      <x:c r="M360" s="791"/>
    </x:row>
    <x:row r="361" spans="1:13" s="689" customFormat="1" ht="20.25" customHeight="1">
      <x:c r="A361" s="776" t="s">
        <x:v>1683</x:v>
      </x:c>
      <x:c r="B361" s="775" t="s">
        <x:v>456</x:v>
      </x:c>
      <x:c r="C361" s="648">
        <x:f t="shared" ref="C361:L361" si="74">C358-C354</x:f>
        <x:v>0</x:v>
      </x:c>
      <x:c r="D361" s="647">
        <x:f t="shared" si="74"/>
        <x:v>0</x:v>
      </x:c>
      <x:c r="E361" s="646">
        <x:f t="shared" si="74"/>
        <x:v>0</x:v>
      </x:c>
      <x:c r="F361" s="686">
        <x:f t="shared" si="74"/>
        <x:v>0</x:v>
      </x:c>
      <x:c r="G361" s="647">
        <x:f t="shared" si="74"/>
        <x:v>0</x:v>
      </x:c>
      <x:c r="H361" s="646">
        <x:f t="shared" si="74"/>
        <x:v>0</x:v>
      </x:c>
      <x:c r="I361" s="645">
        <x:f t="shared" si="74"/>
        <x:v>0</x:v>
      </x:c>
      <x:c r="J361" s="647">
        <x:f t="shared" si="74"/>
        <x:v>-160000</x:v>
      </x:c>
      <x:c r="K361" s="646">
        <x:f t="shared" si="74"/>
        <x:v>0</x:v>
      </x:c>
      <x:c r="L361" s="645">
        <x:f t="shared" si="74"/>
        <x:v>160000</x:v>
      </x:c>
      <x:c r="M361" s="790" t="s">
        <x:v>1360</x:v>
      </x:c>
    </x:row>
    <x:row r="362" spans="1:14" s="689" customFormat="1" ht="20.25" customHeight="1">
      <x:c r="A362" s="749" t="s">
        <x:v>1375</x:v>
      </x:c>
      <x:c r="B362" s="789" t="s">
        <x:v>1295</x:v>
      </x:c>
      <x:c r="C362" s="788">
        <x:v>774732000</x:v>
      </x:c>
      <x:c r="D362" s="786">
        <x:f t="shared" ref="D362:I362" si="75">D363+D364+D365</x:f>
        <x:v>371688400</x:v>
      </x:c>
      <x:c r="E362" s="785">
        <x:f t="shared" si="75"/>
        <x:v>371669411</x:v>
      </x:c>
      <x:c r="F362" s="787">
        <x:f t="shared" si="75"/>
        <x:v>18989</x:v>
      </x:c>
      <x:c r="G362" s="786">
        <x:f t="shared" si="75"/>
        <x:v>104439000</x:v>
      </x:c>
      <x:c r="H362" s="785">
        <x:f t="shared" si="75"/>
        <x:v>48746136</x:v>
      </x:c>
      <x:c r="I362" s="784">
        <x:f t="shared" si="75"/>
        <x:v>55692864</x:v>
      </x:c>
      <x:c r="J362" s="786">
        <x:f>J363+J364+J365+J366</x:f>
        <x:v>61459000</x:v>
      </x:c>
      <x:c r="K362" s="785">
        <x:v>237145600</x:v>
      </x:c>
      <x:c r="L362" s="784">
        <x:v>0</x:v>
      </x:c>
      <x:c r="M362" s="783" t="s">
        <x:v>1686</x:v>
      </x:c>
      <x:c r="N362" s="735"/>
    </x:row>
    <x:row r="363" spans="1:14" s="689" customFormat="1" ht="20.25" customHeight="1">
      <x:c r="A363" s="713" t="s">
        <x:v>1834</x:v>
      </x:c>
      <x:c r="B363" s="780" t="s">
        <x:v>117</x:v>
      </x:c>
      <x:c r="C363" s="676">
        <x:v>749189000</x:v>
      </x:c>
      <x:c r="D363" s="674">
        <x:v>361398667</x:v>
      </x:c>
      <x:c r="E363" s="673">
        <x:v>361398667</x:v>
      </x:c>
      <x:c r="F363" s="675"/>
      <x:c r="G363" s="674">
        <x:v>101699000</x:v>
      </x:c>
      <x:c r="H363" s="673">
        <x:v>46550808</x:v>
      </x:c>
      <x:c r="I363" s="672">
        <x:f>G363-H363</x:f>
        <x:v>55148192</x:v>
      </x:c>
      <x:c r="J363" s="674">
        <x:v>58299700</x:v>
      </x:c>
      <x:c r="K363" s="673">
        <x:v>227791633</x:v>
      </x:c>
      <x:c r="L363" s="672">
        <x:v>0</x:v>
      </x:c>
      <x:c r="M363" s="782" t="s">
        <x:v>1711</x:v>
      </x:c>
      <x:c r="N363" s="735"/>
    </x:row>
    <x:row r="364" spans="1:14" s="689" customFormat="1" ht="20.25" customHeight="1">
      <x:c r="A364" s="713" t="s">
        <x:v>1682</x:v>
      </x:c>
      <x:c r="B364" s="779" t="s">
        <x:v>148</x:v>
      </x:c>
      <x:c r="C364" s="661">
        <x:v>19668000</x:v>
      </x:c>
      <x:c r="D364" s="660">
        <x:v>9681610</x:v>
      </x:c>
      <x:c r="E364" s="659">
        <x:v>9681610</x:v>
      </x:c>
      <x:c r="F364" s="671"/>
      <x:c r="G364" s="660">
        <x:v>2700000</x:v>
      </x:c>
      <x:c r="H364" s="659">
        <x:v>1949631</x:v>
      </x:c>
      <x:c r="I364" s="658">
        <x:f>G364-H364</x:f>
        <x:v>750369</x:v>
      </x:c>
      <x:c r="J364" s="660">
        <x:v>2809300</x:v>
      </x:c>
      <x:c r="K364" s="659">
        <x:v>4477090</x:v>
      </x:c>
      <x:c r="L364" s="658">
        <x:v>0</x:v>
      </x:c>
      <x:c r="M364" s="722" t="s">
        <x:v>1</x:v>
      </x:c>
      <x:c r="N364" s="735"/>
    </x:row>
    <x:row r="365" spans="1:14" s="689" customFormat="1" ht="20.25" customHeight="1">
      <x:c r="A365" s="713" t="s">
        <x:v>1365</x:v>
      </x:c>
      <x:c r="B365" s="779" t="s">
        <x:v>646</x:v>
      </x:c>
      <x:c r="C365" s="661">
        <x:v>5875000</x:v>
      </x:c>
      <x:c r="D365" s="660">
        <x:v>608123</x:v>
      </x:c>
      <x:c r="E365" s="659">
        <x:v>589134</x:v>
      </x:c>
      <x:c r="F365" s="671">
        <x:f>D365-E365</x:f>
        <x:v>18989</x:v>
      </x:c>
      <x:c r="G365" s="660">
        <x:v>40000</x:v>
      </x:c>
      <x:c r="H365" s="659">
        <x:v>245697</x:v>
      </x:c>
      <x:c r="I365" s="658">
        <x:f>G365-H365</x:f>
        <x:v>-205697</x:v>
      </x:c>
      <x:c r="J365" s="660">
        <x:v>230000</x:v>
      </x:c>
      <x:c r="K365" s="659">
        <x:v>4996877</x:v>
      </x:c>
      <x:c r="L365" s="658">
        <x:v>0</x:v>
      </x:c>
      <x:c r="M365" s="734" t="s">
        <x:v>1380</x:v>
      </x:c>
      <x:c r="N365" s="735"/>
    </x:row>
    <x:row r="366" spans="1:14" s="689" customFormat="1" ht="20.25" customHeight="1">
      <x:c r="A366" s="713"/>
      <x:c r="B366" s="778" t="s">
        <x:v>1389</x:v>
      </x:c>
      <x:c r="C366" s="661">
        <x:v>0</x:v>
      </x:c>
      <x:c r="D366" s="660">
        <x:v>0</x:v>
      </x:c>
      <x:c r="E366" s="659">
        <x:v>0</x:v>
      </x:c>
      <x:c r="F366" s="671">
        <x:v>0</x:v>
      </x:c>
      <x:c r="G366" s="660">
        <x:v>0</x:v>
      </x:c>
      <x:c r="H366" s="659">
        <x:v>0</x:v>
      </x:c>
      <x:c r="I366" s="658">
        <x:v>0</x:v>
      </x:c>
      <x:c r="J366" s="660">
        <x:v>120000</x:v>
      </x:c>
      <x:c r="K366" s="659">
        <x:v>0</x:v>
      </x:c>
      <x:c r="L366" s="658">
        <x:v>0</x:v>
      </x:c>
      <x:c r="M366" s="722" t="s">
        <x:v>1833</x:v>
      </x:c>
      <x:c r="N366" s="735"/>
    </x:row>
    <x:row r="367" spans="1:13" s="689" customFormat="1" ht="20.25" customHeight="1">
      <x:c r="A367" s="713" t="s">
        <x:v>1676</x:v>
      </x:c>
      <x:c r="B367" s="781" t="s">
        <x:v>1294</x:v>
      </x:c>
      <x:c r="C367" s="668">
        <x:f>C368+C369+C370+C371</x:f>
        <x:v>893478000</x:v>
      </x:c>
      <x:c r="D367" s="666">
        <x:f t="shared" ref="D367:I367" si="76">D368+D369+D370</x:f>
        <x:v>399580400</x:v>
      </x:c>
      <x:c r="E367" s="665">
        <x:f t="shared" si="76"/>
        <x:v>371669411</x:v>
      </x:c>
      <x:c r="F367" s="667">
        <x:f t="shared" si="76"/>
        <x:v>27910989</x:v>
      </x:c>
      <x:c r="G367" s="666">
        <x:f t="shared" si="76"/>
        <x:v>104439000</x:v>
      </x:c>
      <x:c r="H367" s="665">
        <x:f t="shared" si="76"/>
        <x:v>48746136</x:v>
      </x:c>
      <x:c r="I367" s="664">
        <x:f t="shared" si="76"/>
        <x:v>55692864</x:v>
      </x:c>
      <x:c r="J367" s="666">
        <x:f>J368+J369+J370+J371</x:f>
        <x:v>75745000</x:v>
      </x:c>
      <x:c r="K367" s="665">
        <x:f>K368+K369+K370+K371</x:f>
        <x:v>123300000</x:v>
      </x:c>
      <x:c r="L367" s="664">
        <x:f>L368+L369+L370+L371</x:f>
        <x:v>190413600</x:v>
      </x:c>
      <x:c r="M367" s="722" t="s">
        <x:v>1818</x:v>
      </x:c>
    </x:row>
    <x:row r="368" spans="1:13" s="689" customFormat="1" ht="20.25" customHeight="1">
      <x:c r="A368" s="713" t="s">
        <x:v>1824</x:v>
      </x:c>
      <x:c r="B368" s="780" t="s">
        <x:v>117</x:v>
      </x:c>
      <x:c r="C368" s="676">
        <x:v>859761000</x:v>
      </x:c>
      <x:c r="D368" s="674">
        <x:v>389095029</x:v>
      </x:c>
      <x:c r="E368" s="673">
        <x:v>361603736</x:v>
      </x:c>
      <x:c r="F368" s="675">
        <x:f>D368-E368</x:f>
        <x:v>27491293</x:v>
      </x:c>
      <x:c r="G368" s="674">
        <x:v>101219000</x:v>
      </x:c>
      <x:c r="H368" s="673">
        <x:v>46550808</x:v>
      </x:c>
      <x:c r="I368" s="672">
        <x:f>G368-H368</x:f>
        <x:v>54668192</x:v>
      </x:c>
      <x:c r="J368" s="674">
        <x:v>70755000</x:v>
      </x:c>
      <x:c r="K368" s="673">
        <x:v>120423299</x:v>
      </x:c>
      <x:c r="L368" s="672">
        <x:f>C368-D368-G368-J368-K368</x:f>
        <x:v>178268672</x:v>
      </x:c>
      <x:c r="M368" s="777" t="s">
        <x:v>1381</x:v>
      </x:c>
    </x:row>
    <x:row r="369" spans="1:13" s="689" customFormat="1" ht="20.25" customHeight="1">
      <x:c r="A369" s="713"/>
      <x:c r="B369" s="779" t="s">
        <x:v>148</x:v>
      </x:c>
      <x:c r="C369" s="661">
        <x:v>29777000</x:v>
      </x:c>
      <x:c r="D369" s="660">
        <x:v>9877248</x:v>
      </x:c>
      <x:c r="E369" s="659">
        <x:v>9476541</x:v>
      </x:c>
      <x:c r="F369" s="671">
        <x:f>D369-E369</x:f>
        <x:v>400707</x:v>
      </x:c>
      <x:c r="G369" s="660">
        <x:v>2700000</x:v>
      </x:c>
      <x:c r="H369" s="659">
        <x:v>1949631</x:v>
      </x:c>
      <x:c r="I369" s="658">
        <x:f>G369-H369</x:f>
        <x:v>750369</x:v>
      </x:c>
      <x:c r="J369" s="660">
        <x:v>4200000</x:v>
      </x:c>
      <x:c r="K369" s="659">
        <x:v>2476701</x:v>
      </x:c>
      <x:c r="L369" s="658">
        <x:f>C369-D369-G369-J369-K369</x:f>
        <x:v>10523051</x:v>
      </x:c>
      <x:c r="M369" s="722" t="s">
        <x:v>1373</x:v>
      </x:c>
    </x:row>
    <x:row r="370" spans="1:13" s="689" customFormat="1" ht="20.25" customHeight="1">
      <x:c r="A370" s="710" t="s">
        <x:v>1674</x:v>
      </x:c>
      <x:c r="B370" s="779" t="s">
        <x:v>646</x:v>
      </x:c>
      <x:c r="C370" s="661">
        <x:v>3820000</x:v>
      </x:c>
      <x:c r="D370" s="660">
        <x:v>608123</x:v>
      </x:c>
      <x:c r="E370" s="659">
        <x:v>589134</x:v>
      </x:c>
      <x:c r="F370" s="671">
        <x:f>D370-E370</x:f>
        <x:v>18989</x:v>
      </x:c>
      <x:c r="G370" s="660">
        <x:v>520000</x:v>
      </x:c>
      <x:c r="H370" s="659">
        <x:v>245697</x:v>
      </x:c>
      <x:c r="I370" s="658">
        <x:f>G370-H370</x:f>
        <x:v>274303</x:v>
      </x:c>
      <x:c r="J370" s="660">
        <x:v>670000</x:v>
      </x:c>
      <x:c r="K370" s="659">
        <x:v>400000</x:v>
      </x:c>
      <x:c r="L370" s="658">
        <x:f>C370-D370-G370-J370-K370</x:f>
        <x:v>1621877</x:v>
      </x:c>
      <x:c r="M370" s="777" t="s">
        <x:v>1379</x:v>
      </x:c>
    </x:row>
    <x:row r="371" spans="1:13" s="689" customFormat="1" ht="20.25" customHeight="1">
      <x:c r="A371" s="710"/>
      <x:c r="B371" s="778" t="s">
        <x:v>1389</x:v>
      </x:c>
      <x:c r="C371" s="655">
        <x:v>120000</x:v>
      </x:c>
      <x:c r="D371" s="654">
        <x:v>0</x:v>
      </x:c>
      <x:c r="E371" s="653">
        <x:v>0</x:v>
      </x:c>
      <x:c r="F371" s="687">
        <x:v>0</x:v>
      </x:c>
      <x:c r="G371" s="654">
        <x:v>0</x:v>
      </x:c>
      <x:c r="H371" s="653">
        <x:v>0</x:v>
      </x:c>
      <x:c r="I371" s="652">
        <x:f>G371-H371</x:f>
        <x:v>0</x:v>
      </x:c>
      <x:c r="J371" s="654">
        <x:v>120000</x:v>
      </x:c>
      <x:c r="K371" s="653">
        <x:v>0</x:v>
      </x:c>
      <x:c r="L371" s="652">
        <x:f>C371-D371-G371-J371-K371</x:f>
        <x:v>0</x:v>
      </x:c>
      <x:c r="M371" s="777"/>
    </x:row>
    <x:row r="372" spans="1:13" s="689" customFormat="1" ht="20.25" customHeight="1">
      <x:c r="A372" s="776"/>
      <x:c r="B372" s="775" t="s">
        <x:v>456</x:v>
      </x:c>
      <x:c r="C372" s="648">
        <x:f t="shared" ref="C372:L372" si="77">C367-C362</x:f>
        <x:v>118746000</x:v>
      </x:c>
      <x:c r="D372" s="647">
        <x:f t="shared" si="77"/>
        <x:v>27892000</x:v>
      </x:c>
      <x:c r="E372" s="646">
        <x:f t="shared" si="77"/>
        <x:v>0</x:v>
      </x:c>
      <x:c r="F372" s="686">
        <x:f t="shared" si="77"/>
        <x:v>27892000</x:v>
      </x:c>
      <x:c r="G372" s="647">
        <x:f t="shared" si="77"/>
        <x:v>0</x:v>
      </x:c>
      <x:c r="H372" s="646">
        <x:f t="shared" si="77"/>
        <x:v>0</x:v>
      </x:c>
      <x:c r="I372" s="645">
        <x:f t="shared" si="77"/>
        <x:v>0</x:v>
      </x:c>
      <x:c r="J372" s="647">
        <x:f t="shared" si="77"/>
        <x:v>14286000</x:v>
      </x:c>
      <x:c r="K372" s="646">
        <x:f t="shared" si="77"/>
        <x:v>-113845600</x:v>
      </x:c>
      <x:c r="L372" s="645">
        <x:f t="shared" si="77"/>
        <x:v>190413600</x:v>
      </x:c>
      <x:c r="M372" s="750" t="s">
        <x:v>1369</x:v>
      </x:c>
    </x:row>
    <x:row r="373" spans="1:13" s="689" customFormat="1" ht="20.25" customHeight="1">
      <x:c r="A373" s="774" t="s">
        <x:v>1673</x:v>
      </x:c>
      <x:c r="B373" s="748" t="s">
        <x:v>1295</x:v>
      </x:c>
      <x:c r="C373" s="747">
        <x:v>1540100000</x:v>
      </x:c>
      <x:c r="D373" s="772">
        <x:v>2700000</x:v>
      </x:c>
      <x:c r="E373" s="771">
        <x:v>1972853</x:v>
      </x:c>
      <x:c r="F373" s="773">
        <x:v>727147</x:v>
      </x:c>
      <x:c r="G373" s="772">
        <x:v>0</x:v>
      </x:c>
      <x:c r="H373" s="771">
        <x:v>0</x:v>
      </x:c>
      <x:c r="I373" s="740">
        <x:v>0</x:v>
      </x:c>
      <x:c r="J373" s="742">
        <x:v>2500000</x:v>
      </x:c>
      <x:c r="K373" s="771">
        <x:v>0</x:v>
      </x:c>
      <x:c r="L373" s="740">
        <x:v>1534900000</x:v>
      </x:c>
      <x:c r="M373" s="770" t="s">
        <x:v>1687</x:v>
      </x:c>
    </x:row>
    <x:row r="374" spans="1:14" s="689" customFormat="1" ht="20.25" customHeight="1">
      <x:c r="A374" s="767" t="s">
        <x:v>1820</x:v>
      </x:c>
      <x:c r="B374" s="769" t="s">
        <x:v>117</x:v>
      </x:c>
      <x:c r="C374" s="721">
        <x:v>1540050000</x:v>
      </x:c>
      <x:c r="D374" s="759">
        <x:v>2670000</x:v>
      </x:c>
      <x:c r="E374" s="738">
        <x:v>1960568</x:v>
      </x:c>
      <x:c r="F374" s="760">
        <x:v>709432</x:v>
      </x:c>
      <x:c r="G374" s="759">
        <x:v>0</x:v>
      </x:c>
      <x:c r="H374" s="738">
        <x:v>0</x:v>
      </x:c>
      <x:c r="I374" s="737">
        <x:v>0</x:v>
      </x:c>
      <x:c r="J374" s="739">
        <x:v>2480000</x:v>
      </x:c>
      <x:c r="K374" s="738">
        <x:v>0</x:v>
      </x:c>
      <x:c r="L374" s="737">
        <x:v>1534900000</x:v>
      </x:c>
      <x:c r="M374" s="736" t="s">
        <x:v>1823</x:v>
      </x:c>
      <x:c r="N374" s="735"/>
    </x:row>
    <x:row r="375" spans="1:13" s="689" customFormat="1" ht="20.25" customHeight="1">
      <x:c r="A375" s="767" t="s">
        <x:v>1368</x:v>
      </x:c>
      <x:c r="B375" s="756" t="s">
        <x:v>148</x:v>
      </x:c>
      <x:c r="C375" s="708">
        <x:v>0</x:v>
      </x:c>
      <x:c r="D375" s="754">
        <x:v>0</x:v>
      </x:c>
      <x:c r="E375" s="700">
        <x:v>0</x:v>
      </x:c>
      <x:c r="F375" s="755">
        <x:v>0</x:v>
      </x:c>
      <x:c r="G375" s="754">
        <x:v>0</x:v>
      </x:c>
      <x:c r="H375" s="700">
        <x:v>0</x:v>
      </x:c>
      <x:c r="I375" s="711">
        <x:v>0</x:v>
      </x:c>
      <x:c r="J375" s="701">
        <x:v>0</x:v>
      </x:c>
      <x:c r="K375" s="700">
        <x:v>0</x:v>
      </x:c>
      <x:c r="L375" s="711">
        <x:v>0</x:v>
      </x:c>
      <x:c r="M375" s="722"/>
    </x:row>
    <x:row r="376" spans="1:13" s="689" customFormat="1" ht="20.25" customHeight="1">
      <x:c r="A376" s="768" t="s">
        <x:v>1811</x:v>
      </x:c>
      <x:c r="B376" s="756" t="s">
        <x:v>646</x:v>
      </x:c>
      <x:c r="C376" s="708">
        <x:v>50000</x:v>
      </x:c>
      <x:c r="D376" s="754">
        <x:v>30000</x:v>
      </x:c>
      <x:c r="E376" s="700">
        <x:v>12285</x:v>
      </x:c>
      <x:c r="F376" s="755">
        <x:v>17715</x:v>
      </x:c>
      <x:c r="G376" s="754">
        <x:v>0</x:v>
      </x:c>
      <x:c r="H376" s="700">
        <x:v>0</x:v>
      </x:c>
      <x:c r="I376" s="711">
        <x:v>0</x:v>
      </x:c>
      <x:c r="J376" s="701">
        <x:v>20000</x:v>
      </x:c>
      <x:c r="K376" s="700">
        <x:v>0</x:v>
      </x:c>
      <x:c r="L376" s="711">
        <x:v>0</x:v>
      </x:c>
      <x:c r="M376" s="734" t="s">
        <x:v>467</x:v>
      </x:c>
    </x:row>
    <x:row r="377" spans="1:13" s="689" customFormat="1" ht="20.25" customHeight="1">
      <x:c r="A377" s="767" t="s">
        <x:v>1832</x:v>
      </x:c>
      <x:c r="B377" s="732" t="s">
        <x:v>1294</x:v>
      </x:c>
      <x:c r="C377" s="766">
        <x:v>1887593000</x:v>
      </x:c>
      <x:c r="D377" s="764">
        <x:f t="shared" ref="D377:L377" si="78">SUM(D378:D380)</x:f>
        <x:v>2700000</x:v>
      </x:c>
      <x:c r="E377" s="763">
        <x:f t="shared" si="78"/>
        <x:v>2057996</x:v>
      </x:c>
      <x:c r="F377" s="765">
        <x:f t="shared" si="78"/>
        <x:v>642004</x:v>
      </x:c>
      <x:c r="G377" s="764">
        <x:f t="shared" si="78"/>
        <x:v>0</x:v>
      </x:c>
      <x:c r="H377" s="763">
        <x:f t="shared" si="78"/>
        <x:v>0</x:v>
      </x:c>
      <x:c r="I377" s="762">
        <x:f t="shared" si="78"/>
        <x:v>0</x:v>
      </x:c>
      <x:c r="J377" s="725">
        <x:f t="shared" si="78"/>
        <x:v>0</x:v>
      </x:c>
      <x:c r="K377" s="724">
        <x:f t="shared" si="78"/>
        <x:v>48500000</x:v>
      </x:c>
      <x:c r="L377" s="723">
        <x:f t="shared" si="78"/>
        <x:v>1836393000</x:v>
      </x:c>
      <x:c r="M377" s="722" t="s">
        <x:v>1672</x:v>
      </x:c>
    </x:row>
    <x:row r="378" spans="1:13" s="689" customFormat="1" ht="20.25" customHeight="1">
      <x:c r="A378" s="761" t="s">
        <x:v>1674</x:v>
      </x:c>
      <x:c r="B378" s="756" t="s">
        <x:v>117</x:v>
      </x:c>
      <x:c r="C378" s="708">
        <x:v>1805124000</x:v>
      </x:c>
      <x:c r="D378" s="759">
        <x:v>2670000</x:v>
      </x:c>
      <x:c r="E378" s="738">
        <x:v>2045711</x:v>
      </x:c>
      <x:c r="F378" s="760">
        <x:f>D378-E378</x:f>
        <x:v>624289</x:v>
      </x:c>
      <x:c r="G378" s="759">
        <x:v>0</x:v>
      </x:c>
      <x:c r="H378" s="738">
        <x:v>0</x:v>
      </x:c>
      <x:c r="I378" s="737">
        <x:v>0</x:v>
      </x:c>
      <x:c r="J378" s="701">
        <x:v>0</x:v>
      </x:c>
      <x:c r="K378" s="700">
        <x:v>47700000</x:v>
      </x:c>
      <x:c r="L378" s="711">
        <x:f>C378-D378-K378</x:f>
        <x:v>1754754000</x:v>
      </x:c>
      <x:c r="M378" s="722" t="s">
        <x:v>1382</x:v>
      </x:c>
    </x:row>
    <x:row r="379" spans="1:13" s="689" customFormat="1" ht="20.25" customHeight="1">
      <x:c r="A379" s="758"/>
      <x:c r="B379" s="756" t="s">
        <x:v>148</x:v>
      </x:c>
      <x:c r="C379" s="708">
        <x:v>69331000</x:v>
      </x:c>
      <x:c r="D379" s="754">
        <x:v>0</x:v>
      </x:c>
      <x:c r="E379" s="700">
        <x:v>0</x:v>
      </x:c>
      <x:c r="F379" s="755">
        <x:v>0</x:v>
      </x:c>
      <x:c r="G379" s="754">
        <x:v>0</x:v>
      </x:c>
      <x:c r="H379" s="700">
        <x:v>0</x:v>
      </x:c>
      <x:c r="I379" s="711">
        <x:v>0</x:v>
      </x:c>
      <x:c r="J379" s="701">
        <x:v>0</x:v>
      </x:c>
      <x:c r="K379" s="700">
        <x:v>600000</x:v>
      </x:c>
      <x:c r="L379" s="711">
        <x:f>C379-D379-K379</x:f>
        <x:v>68731000</x:v>
      </x:c>
      <x:c r="M379" s="722" t="s">
        <x:v>1714</x:v>
      </x:c>
    </x:row>
    <x:row r="380" spans="1:13" s="689" customFormat="1" ht="20.25" customHeight="1">
      <x:c r="A380" s="757"/>
      <x:c r="B380" s="756" t="s">
        <x:v>646</x:v>
      </x:c>
      <x:c r="C380" s="708">
        <x:v>13138000</x:v>
      </x:c>
      <x:c r="D380" s="754">
        <x:v>30000</x:v>
      </x:c>
      <x:c r="E380" s="700">
        <x:v>12285</x:v>
      </x:c>
      <x:c r="F380" s="755">
        <x:f>D380-E380</x:f>
        <x:v>17715</x:v>
      </x:c>
      <x:c r="G380" s="754">
        <x:v>0</x:v>
      </x:c>
      <x:c r="H380" s="700">
        <x:v>0</x:v>
      </x:c>
      <x:c r="I380" s="711">
        <x:v>0</x:v>
      </x:c>
      <x:c r="J380" s="701">
        <x:v>0</x:v>
      </x:c>
      <x:c r="K380" s="700">
        <x:v>200000</x:v>
      </x:c>
      <x:c r="L380" s="711">
        <x:f>C380-D380-K380</x:f>
        <x:v>12908000</x:v>
      </x:c>
      <x:c r="M380" s="722"/>
    </x:row>
    <x:row r="381" spans="1:13" s="689" customFormat="1" ht="20.25" customHeight="1">
      <x:c r="A381" s="753"/>
      <x:c r="B381" s="696" t="s">
        <x:v>456</x:v>
      </x:c>
      <x:c r="C381" s="695">
        <x:f t="shared" ref="C381:L381" si="79">C377-C373</x:f>
        <x:v>347493000</x:v>
      </x:c>
      <x:c r="D381" s="693">
        <x:f t="shared" si="79"/>
        <x:v>0</x:v>
      </x:c>
      <x:c r="E381" s="691">
        <x:f t="shared" si="79"/>
        <x:v>85143</x:v>
      </x:c>
      <x:c r="F381" s="752">
        <x:f t="shared" si="79"/>
        <x:v>-85143</x:v>
      </x:c>
      <x:c r="G381" s="693">
        <x:f t="shared" si="79"/>
        <x:v>0</x:v>
      </x:c>
      <x:c r="H381" s="691">
        <x:f t="shared" si="79"/>
        <x:v>0</x:v>
      </x:c>
      <x:c r="I381" s="751">
        <x:f t="shared" si="79"/>
        <x:v>0</x:v>
      </x:c>
      <x:c r="J381" s="692">
        <x:f t="shared" si="79"/>
        <x:v>-2500000</x:v>
      </x:c>
      <x:c r="K381" s="691">
        <x:f t="shared" si="79"/>
        <x:v>48500000</x:v>
      </x:c>
      <x:c r="L381" s="751">
        <x:f t="shared" si="79"/>
        <x:v>301493000</x:v>
      </x:c>
      <x:c r="M381" s="750" t="s">
        <x:v>1372</x:v>
      </x:c>
    </x:row>
    <x:row r="382" spans="1:13" s="689" customFormat="1" ht="18.75" customHeight="1">
      <x:c r="A382" s="749" t="s">
        <x:v>1679</x:v>
      </x:c>
      <x:c r="B382" s="748" t="s">
        <x:v>1295</x:v>
      </x:c>
      <x:c r="C382" s="747">
        <x:f>D382+G382+J382+K382+L382</x:f>
        <x:v>2103200000</x:v>
      </x:c>
      <x:c r="D382" s="746">
        <x:v>75800000</x:v>
      </x:c>
      <x:c r="E382" s="746">
        <x:v>2765284</x:v>
      </x:c>
      <x:c r="F382" s="745">
        <x:v>73034716</x:v>
      </x:c>
      <x:c r="G382" s="744">
        <x:f>SUM(G383:G385)</x:f>
        <x:v>0</x:v>
      </x:c>
      <x:c r="H382" s="741">
        <x:f>SUM(H383:H385)</x:f>
        <x:v>0</x:v>
      </x:c>
      <x:c r="I382" s="743">
        <x:f>SUM(I383:I385)</x:f>
        <x:v>0</x:v>
      </x:c>
      <x:c r="J382" s="742">
        <x:f>SUM(J383:J385)</x:f>
        <x:v>10255000</x:v>
      </x:c>
      <x:c r="K382" s="741">
        <x:f>SUM(K383:K385)</x:f>
        <x:v>0</x:v>
      </x:c>
      <x:c r="L382" s="740">
        <x:v>2017145000</x:v>
      </x:c>
      <x:c r="M382" s="621" t="s">
        <x:v>1668</x:v>
      </x:c>
    </x:row>
    <x:row r="383" spans="1:14" s="689" customFormat="1" ht="18.75" customHeight="1">
      <x:c r="A383" s="713" t="s">
        <x:v>1712</x:v>
      </x:c>
      <x:c r="B383" s="709" t="s">
        <x:v>117</x:v>
      </x:c>
      <x:c r="C383" s="721">
        <x:v>2102415000</x:v>
      </x:c>
      <x:c r="D383" s="720">
        <x:v>75770000</x:v>
      </x:c>
      <x:c r="E383" s="719">
        <x:v>2745547</x:v>
      </x:c>
      <x:c r="F383" s="718">
        <x:v>73024453</x:v>
      </x:c>
      <x:c r="G383" s="717">
        <x:v>0</x:v>
      </x:c>
      <x:c r="H383" s="716">
        <x:v>0</x:v>
      </x:c>
      <x:c r="I383" s="715">
        <x:v>0</x:v>
      </x:c>
      <x:c r="J383" s="739">
        <x:v>9500000</x:v>
      </x:c>
      <x:c r="K383" s="738">
        <x:v>0</x:v>
      </x:c>
      <x:c r="L383" s="737">
        <x:v>2017145000</x:v>
      </x:c>
      <x:c r="M383" s="736" t="s">
        <x:v>1713</x:v>
      </x:c>
      <x:c r="N383" s="735"/>
    </x:row>
    <x:row r="384" spans="1:13" s="689" customFormat="1" ht="18.75" customHeight="1">
      <x:c r="A384" s="713" t="s">
        <x:v>1809</x:v>
      </x:c>
      <x:c r="B384" s="709" t="s">
        <x:v>148</x:v>
      </x:c>
      <x:c r="C384" s="708">
        <x:v>700000</x:v>
      </x:c>
      <x:c r="D384" s="704">
        <x:v>0</x:v>
      </x:c>
      <x:c r="E384" s="703">
        <x:v>0</x:v>
      </x:c>
      <x:c r="F384" s="712">
        <x:v>0</x:v>
      </x:c>
      <x:c r="G384" s="704">
        <x:v>0</x:v>
      </x:c>
      <x:c r="H384" s="703">
        <x:v>0</x:v>
      </x:c>
      <x:c r="I384" s="702">
        <x:v>0</x:v>
      </x:c>
      <x:c r="J384" s="701">
        <x:v>700000</x:v>
      </x:c>
      <x:c r="K384" s="700">
        <x:v>0</x:v>
      </x:c>
      <x:c r="L384" s="711">
        <x:v>0</x:v>
      </x:c>
      <x:c r="M384" s="734" t="s">
        <x:v>1929</x:v>
      </x:c>
    </x:row>
    <x:row r="385" spans="1:14" s="689" customFormat="1" ht="18.75" customHeight="1">
      <x:c r="A385" s="713" t="s">
        <x:v>1807</x:v>
      </x:c>
      <x:c r="B385" s="709" t="s">
        <x:v>646</x:v>
      </x:c>
      <x:c r="C385" s="708">
        <x:v>85000</x:v>
      </x:c>
      <x:c r="D385" s="707">
        <x:v>30000</x:v>
      </x:c>
      <x:c r="E385" s="706">
        <x:v>19737</x:v>
      </x:c>
      <x:c r="F385" s="705">
        <x:v>10263</x:v>
      </x:c>
      <x:c r="G385" s="704">
        <x:v>0</x:v>
      </x:c>
      <x:c r="H385" s="703">
        <x:v>0</x:v>
      </x:c>
      <x:c r="I385" s="702">
        <x:v>0</x:v>
      </x:c>
      <x:c r="J385" s="701">
        <x:v>55000</x:v>
      </x:c>
      <x:c r="K385" s="700">
        <x:v>0</x:v>
      </x:c>
      <x:c r="L385" s="711">
        <x:v>0</x:v>
      </x:c>
      <x:c r="M385" s="722" t="s">
        <x:v>1829</x:v>
      </x:c>
      <x:c r="N385" s="733"/>
    </x:row>
    <x:row r="386" spans="1:13" s="689" customFormat="1" ht="18.75" customHeight="1">
      <x:c r="A386" s="713" t="s">
        <x:v>1364</x:v>
      </x:c>
      <x:c r="B386" s="732" t="s">
        <x:v>1294</x:v>
      </x:c>
      <x:c r="C386" s="731">
        <x:f>D386+G386+J386+K386+L386</x:f>
        <x:v>2933425000</x:v>
      </x:c>
      <x:c r="D386" s="730">
        <x:f t="shared" ref="D386:J386" si="80">SUM(D387:D389)</x:f>
        <x:v>3800000</x:v>
      </x:c>
      <x:c r="E386" s="730">
        <x:f t="shared" si="80"/>
        <x:v>2765284</x:v>
      </x:c>
      <x:c r="F386" s="729">
        <x:f t="shared" si="80"/>
        <x:v>1034716</x:v>
      </x:c>
      <x:c r="G386" s="728">
        <x:f t="shared" si="80"/>
        <x:v>0</x:v>
      </x:c>
      <x:c r="H386" s="727">
        <x:f t="shared" si="80"/>
        <x:v>0</x:v>
      </x:c>
      <x:c r="I386" s="726">
        <x:f t="shared" si="80"/>
        <x:v>0</x:v>
      </x:c>
      <x:c r="J386" s="725">
        <x:f t="shared" si="80"/>
        <x:v>0</x:v>
      </x:c>
      <x:c r="K386" s="724">
        <x:v>300255000</x:v>
      </x:c>
      <x:c r="L386" s="723">
        <x:v>2629370000</x:v>
      </x:c>
      <x:c r="M386" s="722" t="s">
        <x:v>466</x:v>
      </x:c>
    </x:row>
    <x:row r="387" spans="1:13" s="689" customFormat="1" ht="18.75" customHeight="1">
      <x:c r="A387" s="713" t="s">
        <x:v>1822</x:v>
      </x:c>
      <x:c r="B387" s="709" t="s">
        <x:v>117</x:v>
      </x:c>
      <x:c r="C387" s="721">
        <x:v>2840501000</x:v>
      </x:c>
      <x:c r="D387" s="720">
        <x:v>3770000</x:v>
      </x:c>
      <x:c r="E387" s="719">
        <x:v>2745547</x:v>
      </x:c>
      <x:c r="F387" s="718">
        <x:f>D387-E387</x:f>
        <x:v>1024453</x:v>
      </x:c>
      <x:c r="G387" s="717">
        <x:v>0</x:v>
      </x:c>
      <x:c r="H387" s="716">
        <x:v>0</x:v>
      </x:c>
      <x:c r="I387" s="715">
        <x:v>0</x:v>
      </x:c>
      <x:c r="J387" s="701">
        <x:v>0</x:v>
      </x:c>
      <x:c r="K387" s="700">
        <x:v>291200000</x:v>
      </x:c>
      <x:c r="L387" s="711">
        <x:v>2545531000</x:v>
      </x:c>
      <x:c r="M387" s="714" t="s">
        <x:v>1930</x:v>
      </x:c>
    </x:row>
    <x:row r="388" spans="1:13" s="689" customFormat="1" ht="18.75" customHeight="1">
      <x:c r="A388" s="713"/>
      <x:c r="B388" s="709" t="s">
        <x:v>148</x:v>
      </x:c>
      <x:c r="C388" s="708">
        <x:v>88109000</x:v>
      </x:c>
      <x:c r="D388" s="704">
        <x:v>0</x:v>
      </x:c>
      <x:c r="E388" s="703">
        <x:v>0</x:v>
      </x:c>
      <x:c r="F388" s="712">
        <x:v>0</x:v>
      </x:c>
      <x:c r="G388" s="704">
        <x:v>0</x:v>
      </x:c>
      <x:c r="H388" s="703">
        <x:v>0</x:v>
      </x:c>
      <x:c r="I388" s="702">
        <x:v>0</x:v>
      </x:c>
      <x:c r="J388" s="701">
        <x:v>0</x:v>
      </x:c>
      <x:c r="K388" s="700">
        <x:v>8700000</x:v>
      </x:c>
      <x:c r="L388" s="711">
        <x:v>79409000</x:v>
      </x:c>
      <x:c r="M388" s="698" t="s">
        <x:v>1778</x:v>
      </x:c>
    </x:row>
    <x:row r="389" spans="1:13" s="689" customFormat="1" ht="18.75" customHeight="1">
      <x:c r="A389" s="710" t="s">
        <x:v>1674</x:v>
      </x:c>
      <x:c r="B389" s="709" t="s">
        <x:v>646</x:v>
      </x:c>
      <x:c r="C389" s="708">
        <x:v>4815000</x:v>
      </x:c>
      <x:c r="D389" s="707">
        <x:v>30000</x:v>
      </x:c>
      <x:c r="E389" s="706">
        <x:v>19737</x:v>
      </x:c>
      <x:c r="F389" s="705">
        <x:f>D389-E389</x:f>
        <x:v>10263</x:v>
      </x:c>
      <x:c r="G389" s="704">
        <x:v>0</x:v>
      </x:c>
      <x:c r="H389" s="703">
        <x:v>0</x:v>
      </x:c>
      <x:c r="I389" s="702">
        <x:v>0</x:v>
      </x:c>
      <x:c r="J389" s="701">
        <x:v>0</x:v>
      </x:c>
      <x:c r="K389" s="700">
        <x:v>355000</x:v>
      </x:c>
      <x:c r="L389" s="699">
        <x:v>4430000</x:v>
      </x:c>
      <x:c r="M389" s="698" t="s">
        <x:v>17</x:v>
      </x:c>
    </x:row>
    <x:row r="390" spans="1:13" s="689" customFormat="1" ht="18.75" customHeight="1">
      <x:c r="A390" s="697"/>
      <x:c r="B390" s="696" t="s">
        <x:v>456</x:v>
      </x:c>
      <x:c r="C390" s="695">
        <x:f t="shared" ref="C390:L390" si="81">C386-C382</x:f>
        <x:v>830225000</x:v>
      </x:c>
      <x:c r="D390" s="692">
        <x:f t="shared" si="81"/>
        <x:v>-72000000</x:v>
      </x:c>
      <x:c r="E390" s="692">
        <x:f t="shared" si="81"/>
        <x:v>0</x:v>
      </x:c>
      <x:c r="F390" s="694">
        <x:f t="shared" si="81"/>
        <x:v>-72000000</x:v>
      </x:c>
      <x:c r="G390" s="693">
        <x:f t="shared" si="81"/>
        <x:v>0</x:v>
      </x:c>
      <x:c r="H390" s="692">
        <x:f t="shared" si="81"/>
        <x:v>0</x:v>
      </x:c>
      <x:c r="I390" s="692">
        <x:f t="shared" si="81"/>
        <x:v>0</x:v>
      </x:c>
      <x:c r="J390" s="692">
        <x:f t="shared" si="81"/>
        <x:v>-10255000</x:v>
      </x:c>
      <x:c r="K390" s="692">
        <x:f t="shared" si="81"/>
        <x:v>300255000</x:v>
      </x:c>
      <x:c r="L390" s="691">
        <x:f t="shared" si="81"/>
        <x:v>612225000</x:v>
      </x:c>
      <x:c r="M390" s="690" t="s">
        <x:v>1372</x:v>
      </x:c>
    </x:row>
    <x:row r="391" spans="1:13" s="643" customFormat="1" ht="18.75" customHeight="1">
      <x:c r="A391" s="685" t="s">
        <x:v>1371</x:v>
      </x:c>
      <x:c r="B391" s="684" t="s">
        <x:v>1295</x:v>
      </x:c>
      <x:c r="C391" s="683">
        <x:f>SUM(C392:C395)</x:f>
        <x:v>57733533</x:v>
      </x:c>
      <x:c r="D391" s="681">
        <x:f>SUM(D392:D395)</x:f>
        <x:v>2000000</x:v>
      </x:c>
      <x:c r="E391" s="680">
        <x:f>D391-F391</x:f>
        <x:v>1955980</x:v>
      </x:c>
      <x:c r="F391" s="682">
        <x:f>SUM(F392:F395)</x:f>
        <x:v>44020</x:v>
      </x:c>
      <x:c r="G391" s="681">
        <x:f>SUM(G392:G395)</x:f>
        <x:v>17834000</x:v>
      </x:c>
      <x:c r="H391" s="680">
        <x:f>SUM(H392:H395)</x:f>
        <x:v>17674836</x:v>
      </x:c>
      <x:c r="I391" s="679">
        <x:f>G391-H391</x:f>
        <x:v>159164</x:v>
      </x:c>
      <x:c r="J391" s="681">
        <x:f>SUM(J392:J395)</x:f>
        <x:v>1723156</x:v>
      </x:c>
      <x:c r="K391" s="680">
        <x:f>SUM(K392:K395)</x:f>
        <x:v>7085275</x:v>
      </x:c>
      <x:c r="L391" s="679">
        <x:f>SUM(L392:L395)</x:f>
        <x:v>29091102</x:v>
      </x:c>
      <x:c r="M391" s="688" t="s">
        <x:v>1668</x:v>
      </x:c>
    </x:row>
    <x:row r="392" spans="1:13" s="643" customFormat="1" ht="18.75" customHeight="1">
      <x:c r="A392" s="663" t="s">
        <x:v>1806</x:v>
      </x:c>
      <x:c r="B392" s="677" t="s">
        <x:v>117</x:v>
      </x:c>
      <x:c r="C392" s="676">
        <x:f>D392+G392+J392+K392+L392</x:f>
        <x:v>52766906</x:v>
      </x:c>
      <x:c r="D392" s="674">
        <x:v>2000000</x:v>
      </x:c>
      <x:c r="E392" s="673">
        <x:v>1955980</x:v>
      </x:c>
      <x:c r="F392" s="675">
        <x:v>44020</x:v>
      </x:c>
      <x:c r="G392" s="674">
        <x:v>17834000</x:v>
      </x:c>
      <x:c r="H392" s="673">
        <x:v>17674836</x:v>
      </x:c>
      <x:c r="I392" s="672">
        <x:f>G392-H392</x:f>
        <x:v>159164</x:v>
      </x:c>
      <x:c r="J392" s="674">
        <x:v>1723156</x:v>
      </x:c>
      <x:c r="K392" s="673">
        <x:v>6241950</x:v>
      </x:c>
      <x:c r="L392" s="672">
        <x:v>24967800</x:v>
      </x:c>
      <x:c r="M392" s="651" t="s">
        <x:v>1803</x:v>
      </x:c>
    </x:row>
    <x:row r="393" spans="1:13" s="643" customFormat="1" ht="18.75" customHeight="1">
      <x:c r="A393" s="663" t="s">
        <x:v>1780</x:v>
      </x:c>
      <x:c r="B393" s="662" t="s">
        <x:v>148</x:v>
      </x:c>
      <x:c r="C393" s="661">
        <x:f>D393+G393+J393+K393+L393</x:f>
        <x:v>4144845</x:v>
      </x:c>
      <x:c r="D393" s="660">
        <x:v>0</x:v>
      </x:c>
      <x:c r="E393" s="659">
        <x:v>0</x:v>
      </x:c>
      <x:c r="F393" s="671">
        <x:v>0</x:v>
      </x:c>
      <x:c r="G393" s="660">
        <x:v>0</x:v>
      </x:c>
      <x:c r="H393" s="659">
        <x:v>0</x:v>
      </x:c>
      <x:c r="I393" s="658">
        <x:v>0</x:v>
      </x:c>
      <x:c r="J393" s="660">
        <x:v>0</x:v>
      </x:c>
      <x:c r="K393" s="659">
        <x:v>828969</x:v>
      </x:c>
      <x:c r="L393" s="658">
        <x:v>3315876</x:v>
      </x:c>
      <x:c r="M393" s="651" t="s">
        <x:v>1777</x:v>
      </x:c>
    </x:row>
    <x:row r="394" spans="1:13" s="643" customFormat="1" ht="18.75" customHeight="1">
      <x:c r="A394" s="663" t="s">
        <x:v>1378</x:v>
      </x:c>
      <x:c r="B394" s="662" t="s">
        <x:v>646</x:v>
      </x:c>
      <x:c r="C394" s="661">
        <x:f>D394+G394+J394+K394+L394</x:f>
        <x:v>71782</x:v>
      </x:c>
      <x:c r="D394" s="660">
        <x:v>0</x:v>
      </x:c>
      <x:c r="E394" s="659">
        <x:v>0</x:v>
      </x:c>
      <x:c r="F394" s="671">
        <x:v>0</x:v>
      </x:c>
      <x:c r="G394" s="660">
        <x:v>0</x:v>
      </x:c>
      <x:c r="H394" s="659">
        <x:v>0</x:v>
      </x:c>
      <x:c r="I394" s="658">
        <x:v>0</x:v>
      </x:c>
      <x:c r="J394" s="660">
        <x:v>0</x:v>
      </x:c>
      <x:c r="K394" s="659">
        <x:v>14356</x:v>
      </x:c>
      <x:c r="L394" s="658">
        <x:v>57426</x:v>
      </x:c>
      <x:c r="M394" s="651" t="s">
        <x:v>465</x:v>
      </x:c>
    </x:row>
    <x:row r="395" spans="1:13" s="643" customFormat="1" ht="18.75" customHeight="1">
      <x:c r="A395" s="663" t="s">
        <x:v>1779</x:v>
      </x:c>
      <x:c r="B395" s="662" t="s">
        <x:v>40</x:v>
      </x:c>
      <x:c r="C395" s="661">
        <x:f>D395+G395+J395+K395+L395</x:f>
        <x:v>750000</x:v>
      </x:c>
      <x:c r="D395" s="660">
        <x:v>0</x:v>
      </x:c>
      <x:c r="E395" s="659">
        <x:v>0</x:v>
      </x:c>
      <x:c r="F395" s="671">
        <x:v>0</x:v>
      </x:c>
      <x:c r="G395" s="660">
        <x:v>0</x:v>
      </x:c>
      <x:c r="H395" s="659">
        <x:v>0</x:v>
      </x:c>
      <x:c r="I395" s="658">
        <x:v>0</x:v>
      </x:c>
      <x:c r="J395" s="660">
        <x:v>0</x:v>
      </x:c>
      <x:c r="K395" s="659">
        <x:v>0</x:v>
      </x:c>
      <x:c r="L395" s="658">
        <x:v>750000</x:v>
      </x:c>
      <x:c r="M395" s="651"/>
    </x:row>
    <x:row r="396" spans="1:13" s="643" customFormat="1" ht="18.75" customHeight="1">
      <x:c r="A396" s="663" t="s">
        <x:v>1781</x:v>
      </x:c>
      <x:c r="B396" s="669" t="s">
        <x:v>1294</x:v>
      </x:c>
      <x:c r="C396" s="668">
        <x:f>SUM(C397:C400)</x:f>
        <x:v>57733533</x:v>
      </x:c>
      <x:c r="D396" s="666">
        <x:f>SUM(D397:D400)</x:f>
        <x:v>2000000</x:v>
      </x:c>
      <x:c r="E396" s="665">
        <x:f>D396-F396</x:f>
        <x:v>1955980</x:v>
      </x:c>
      <x:c r="F396" s="667">
        <x:f>SUM(F397:F400)</x:f>
        <x:v>44020</x:v>
      </x:c>
      <x:c r="G396" s="666">
        <x:f>SUM(G397:G400)</x:f>
        <x:v>17834000</x:v>
      </x:c>
      <x:c r="H396" s="665">
        <x:f>SUM(H397:H400)</x:f>
        <x:v>17674836</x:v>
      </x:c>
      <x:c r="I396" s="664">
        <x:f>G396-H396</x:f>
        <x:v>159164</x:v>
      </x:c>
      <x:c r="J396" s="666">
        <x:f>SUM(J397:J400)</x:f>
        <x:v>1423156</x:v>
      </x:c>
      <x:c r="K396" s="665">
        <x:f>SUM(K397:K400)</x:f>
        <x:v>7385275</x:v>
      </x:c>
      <x:c r="L396" s="664">
        <x:f>C396-D396-G396-J396-K396</x:f>
        <x:v>29091102</x:v>
      </x:c>
      <x:c r="M396" s="651"/>
    </x:row>
    <x:row r="397" spans="1:13" s="643" customFormat="1" ht="18.75" customHeight="1">
      <x:c r="A397" s="663" t="s">
        <x:v>1819</x:v>
      </x:c>
      <x:c r="B397" s="662" t="s">
        <x:v>117</x:v>
      </x:c>
      <x:c r="C397" s="661">
        <x:f>D397+G397+J397+K397+L397</x:f>
        <x:v>52766906</x:v>
      </x:c>
      <x:c r="D397" s="660">
        <x:v>2000000</x:v>
      </x:c>
      <x:c r="E397" s="659">
        <x:v>1955980</x:v>
      </x:c>
      <x:c r="F397" s="671">
        <x:v>44020</x:v>
      </x:c>
      <x:c r="G397" s="660">
        <x:v>17834000</x:v>
      </x:c>
      <x:c r="H397" s="659">
        <x:v>17674836</x:v>
      </x:c>
      <x:c r="I397" s="658">
        <x:v>159164</x:v>
      </x:c>
      <x:c r="J397" s="660">
        <x:v>1423156</x:v>
      </x:c>
      <x:c r="K397" s="659">
        <x:v>6541950</x:v>
      </x:c>
      <x:c r="L397" s="658">
        <x:v>24967800</x:v>
      </x:c>
      <x:c r="M397" s="651"/>
    </x:row>
    <x:row r="398" spans="1:13" s="643" customFormat="1" ht="18.75" customHeight="1">
      <x:c r="A398" s="663"/>
      <x:c r="B398" s="662" t="s">
        <x:v>148</x:v>
      </x:c>
      <x:c r="C398" s="661">
        <x:f>D398+G398+J398+K398+L398</x:f>
        <x:v>4144845</x:v>
      </x:c>
      <x:c r="D398" s="660">
        <x:v>0</x:v>
      </x:c>
      <x:c r="E398" s="659">
        <x:v>0</x:v>
      </x:c>
      <x:c r="F398" s="671">
        <x:v>0</x:v>
      </x:c>
      <x:c r="G398" s="660">
        <x:v>0</x:v>
      </x:c>
      <x:c r="H398" s="659">
        <x:v>0</x:v>
      </x:c>
      <x:c r="I398" s="658">
        <x:v>0</x:v>
      </x:c>
      <x:c r="J398" s="660">
        <x:v>0</x:v>
      </x:c>
      <x:c r="K398" s="659">
        <x:v>828969</x:v>
      </x:c>
      <x:c r="L398" s="658">
        <x:v>3315876</x:v>
      </x:c>
      <x:c r="M398" s="651"/>
    </x:row>
    <x:row r="399" spans="1:13" s="643" customFormat="1" ht="18.75" customHeight="1">
      <x:c r="A399" s="663"/>
      <x:c r="B399" s="662" t="s">
        <x:v>646</x:v>
      </x:c>
      <x:c r="C399" s="661">
        <x:f>D399+G399+J399+K399+L399</x:f>
        <x:v>71782</x:v>
      </x:c>
      <x:c r="D399" s="660">
        <x:v>0</x:v>
      </x:c>
      <x:c r="E399" s="659">
        <x:v>0</x:v>
      </x:c>
      <x:c r="F399" s="671">
        <x:v>0</x:v>
      </x:c>
      <x:c r="G399" s="660">
        <x:v>0</x:v>
      </x:c>
      <x:c r="H399" s="659">
        <x:v>0</x:v>
      </x:c>
      <x:c r="I399" s="658">
        <x:v>0</x:v>
      </x:c>
      <x:c r="J399" s="660">
        <x:v>0</x:v>
      </x:c>
      <x:c r="K399" s="659">
        <x:v>14356</x:v>
      </x:c>
      <x:c r="L399" s="658">
        <x:v>57426</x:v>
      </x:c>
      <x:c r="M399" s="651"/>
    </x:row>
    <x:row r="400" spans="1:13" s="643" customFormat="1" ht="18.75" customHeight="1">
      <x:c r="A400" s="657" t="s">
        <x:v>1362</x:v>
      </x:c>
      <x:c r="B400" s="656" t="s">
        <x:v>40</x:v>
      </x:c>
      <x:c r="C400" s="655">
        <x:f>D400+G400+J400+K400+L400</x:f>
        <x:v>750000</x:v>
      </x:c>
      <x:c r="D400" s="654">
        <x:v>0</x:v>
      </x:c>
      <x:c r="E400" s="653">
        <x:v>0</x:v>
      </x:c>
      <x:c r="F400" s="687">
        <x:v>0</x:v>
      </x:c>
      <x:c r="G400" s="654">
        <x:v>0</x:v>
      </x:c>
      <x:c r="H400" s="653">
        <x:v>0</x:v>
      </x:c>
      <x:c r="I400" s="652">
        <x:v>0</x:v>
      </x:c>
      <x:c r="J400" s="654">
        <x:v>0</x:v>
      </x:c>
      <x:c r="K400" s="653">
        <x:v>0</x:v>
      </x:c>
      <x:c r="L400" s="652">
        <x:v>750000</x:v>
      </x:c>
      <x:c r="M400" s="651"/>
    </x:row>
    <x:row r="401" spans="1:13" s="643" customFormat="1" ht="18.75" customHeight="1">
      <x:c r="A401" s="650"/>
      <x:c r="B401" s="649" t="s">
        <x:v>456</x:v>
      </x:c>
      <x:c r="C401" s="648">
        <x:f t="shared" ref="C401:L401" si="82">C396-C391</x:f>
        <x:v>0</x:v>
      </x:c>
      <x:c r="D401" s="647">
        <x:f t="shared" si="82"/>
        <x:v>0</x:v>
      </x:c>
      <x:c r="E401" s="646">
        <x:f t="shared" si="82"/>
        <x:v>0</x:v>
      </x:c>
      <x:c r="F401" s="686">
        <x:f t="shared" si="82"/>
        <x:v>0</x:v>
      </x:c>
      <x:c r="G401" s="647">
        <x:f t="shared" si="82"/>
        <x:v>0</x:v>
      </x:c>
      <x:c r="H401" s="646">
        <x:f t="shared" si="82"/>
        <x:v>0</x:v>
      </x:c>
      <x:c r="I401" s="645">
        <x:f t="shared" si="82"/>
        <x:v>0</x:v>
      </x:c>
      <x:c r="J401" s="647">
        <x:f t="shared" si="82"/>
        <x:v>-300000</x:v>
      </x:c>
      <x:c r="K401" s="646">
        <x:f t="shared" si="82"/>
        <x:v>300000</x:v>
      </x:c>
      <x:c r="L401" s="645">
        <x:f t="shared" si="82"/>
        <x:v>0</x:v>
      </x:c>
      <x:c r="M401" s="644" t="s">
        <x:v>1383</x:v>
      </x:c>
    </x:row>
    <x:row r="402" spans="1:13" s="643" customFormat="1" ht="18.75" customHeight="1">
      <x:c r="A402" s="685" t="s">
        <x:v>1810</x:v>
      </x:c>
      <x:c r="B402" s="684" t="s">
        <x:v>1295</x:v>
      </x:c>
      <x:c r="C402" s="683">
        <x:f>SUM(C403:C406)</x:f>
        <x:v>11320864</x:v>
      </x:c>
      <x:c r="D402" s="681">
        <x:f>SUM(D403:D406)</x:f>
        <x:v>0</x:v>
      </x:c>
      <x:c r="E402" s="680">
        <x:f>D402-F402</x:f>
        <x:v>0</x:v>
      </x:c>
      <x:c r="F402" s="682">
        <x:f>SUM(F403:F406)</x:f>
        <x:v>0</x:v>
      </x:c>
      <x:c r="G402" s="681">
        <x:f>SUM(G403:G406)</x:f>
        <x:v>150000</x:v>
      </x:c>
      <x:c r="H402" s="680">
        <x:f>SUM(H403:H406)</x:f>
        <x:v>150000</x:v>
      </x:c>
      <x:c r="I402" s="679">
        <x:f>G402-H402</x:f>
        <x:v>0</x:v>
      </x:c>
      <x:c r="J402" s="681">
        <x:f>SUM(J403:J406)</x:f>
        <x:v>1960767</x:v>
      </x:c>
      <x:c r="K402" s="680">
        <x:f>SUM(K403:K406)</x:f>
        <x:v>3816992</x:v>
      </x:c>
      <x:c r="L402" s="679">
        <x:f>SUM(L403:L406)</x:f>
        <x:v>5393105</x:v>
      </x:c>
      <x:c r="M402" s="678" t="s">
        <x:v>1668</x:v>
      </x:c>
    </x:row>
    <x:row r="403" spans="1:13" s="643" customFormat="1" ht="18.75" customHeight="1">
      <x:c r="A403" s="663" t="s">
        <x:v>1831</x:v>
      </x:c>
      <x:c r="B403" s="677" t="s">
        <x:v>117</x:v>
      </x:c>
      <x:c r="C403" s="676">
        <x:f>D403+G403+J403+K403+L403</x:f>
        <x:v>9698501</x:v>
      </x:c>
      <x:c r="D403" s="674">
        <x:v>0</x:v>
      </x:c>
      <x:c r="E403" s="673">
        <x:v>0</x:v>
      </x:c>
      <x:c r="F403" s="675">
        <x:v>0</x:v>
      </x:c>
      <x:c r="G403" s="674">
        <x:v>150000</x:v>
      </x:c>
      <x:c r="H403" s="673">
        <x:v>150000</x:v>
      </x:c>
      <x:c r="I403" s="672">
        <x:v>0</x:v>
      </x:c>
      <x:c r="J403" s="674">
        <x:v>1960767</x:v>
      </x:c>
      <x:c r="K403" s="673">
        <x:v>3035094</x:v>
      </x:c>
      <x:c r="L403" s="672">
        <x:v>4552640</x:v>
      </x:c>
      <x:c r="M403" s="651" t="s">
        <x:v>1803</x:v>
      </x:c>
    </x:row>
    <x:row r="404" spans="1:13" s="643" customFormat="1" ht="18.75" customHeight="1">
      <x:c r="A404" s="663" t="s">
        <x:v>15</x:v>
      </x:c>
      <x:c r="B404" s="662" t="s">
        <x:v>148</x:v>
      </x:c>
      <x:c r="C404" s="661">
        <x:f>D404+G404+J404+K404+L404</x:f>
        <x:v>1282790</x:v>
      </x:c>
      <x:c r="D404" s="660">
        <x:v>0</x:v>
      </x:c>
      <x:c r="E404" s="659">
        <x:v>0</x:v>
      </x:c>
      <x:c r="F404" s="671">
        <x:v>0</x:v>
      </x:c>
      <x:c r="G404" s="660">
        <x:v>0</x:v>
      </x:c>
      <x:c r="H404" s="659">
        <x:v>0</x:v>
      </x:c>
      <x:c r="I404" s="658">
        <x:v>0</x:v>
      </x:c>
      <x:c r="J404" s="660">
        <x:v>0</x:v>
      </x:c>
      <x:c r="K404" s="659">
        <x:v>769674</x:v>
      </x:c>
      <x:c r="L404" s="658">
        <x:v>513116</x:v>
      </x:c>
      <x:c r="M404" s="651" t="s">
        <x:v>1816</x:v>
      </x:c>
    </x:row>
    <x:row r="405" spans="1:13" s="643" customFormat="1" ht="18.75" customHeight="1">
      <x:c r="A405" s="663" t="s">
        <x:v>1677</x:v>
      </x:c>
      <x:c r="B405" s="662" t="s">
        <x:v>646</x:v>
      </x:c>
      <x:c r="C405" s="661">
        <x:f>D405+G405+J405+K405+L405</x:f>
        <x:v>20373</x:v>
      </x:c>
      <x:c r="D405" s="660">
        <x:v>0</x:v>
      </x:c>
      <x:c r="E405" s="659">
        <x:v>0</x:v>
      </x:c>
      <x:c r="F405" s="671">
        <x:v>0</x:v>
      </x:c>
      <x:c r="G405" s="660">
        <x:v>0</x:v>
      </x:c>
      <x:c r="H405" s="659">
        <x:v>0</x:v>
      </x:c>
      <x:c r="I405" s="658">
        <x:v>0</x:v>
      </x:c>
      <x:c r="J405" s="660">
        <x:v>0</x:v>
      </x:c>
      <x:c r="K405" s="659">
        <x:v>12224</x:v>
      </x:c>
      <x:c r="L405" s="658">
        <x:v>8149</x:v>
      </x:c>
      <x:c r="M405" s="651" t="s">
        <x:v>465</x:v>
      </x:c>
    </x:row>
    <x:row r="406" spans="1:13" s="643" customFormat="1" ht="18.75" customHeight="1">
      <x:c r="A406" s="663" t="s">
        <x:v>1775</x:v>
      </x:c>
      <x:c r="B406" s="662" t="s">
        <x:v>40</x:v>
      </x:c>
      <x:c r="C406" s="661">
        <x:f>D406+G406+J406+K406+L406</x:f>
        <x:v>319200</x:v>
      </x:c>
      <x:c r="D406" s="660">
        <x:v>0</x:v>
      </x:c>
      <x:c r="E406" s="659">
        <x:v>0</x:v>
      </x:c>
      <x:c r="F406" s="671">
        <x:v>0</x:v>
      </x:c>
      <x:c r="G406" s="660">
        <x:v>0</x:v>
      </x:c>
      <x:c r="H406" s="659">
        <x:v>0</x:v>
      </x:c>
      <x:c r="I406" s="658">
        <x:v>0</x:v>
      </x:c>
      <x:c r="J406" s="660">
        <x:v>0</x:v>
      </x:c>
      <x:c r="K406" s="659">
        <x:v>0</x:v>
      </x:c>
      <x:c r="L406" s="658">
        <x:v>319200</x:v>
      </x:c>
      <x:c r="M406" s="670" t="s">
        <x:v>455</x:v>
      </x:c>
    </x:row>
    <x:row r="407" spans="1:13" s="643" customFormat="1" ht="18.75" customHeight="1">
      <x:c r="A407" s="663" t="s">
        <x:v>1808</x:v>
      </x:c>
      <x:c r="B407" s="669" t="s">
        <x:v>1294</x:v>
      </x:c>
      <x:c r="C407" s="668">
        <x:f>SUM(C408:C411)</x:f>
        <x:v>11320864</x:v>
      </x:c>
      <x:c r="D407" s="666">
        <x:f>SUM(D408:D411)</x:f>
        <x:v>0</x:v>
      </x:c>
      <x:c r="E407" s="665">
        <x:f>D407-F407</x:f>
        <x:v>0</x:v>
      </x:c>
      <x:c r="F407" s="667">
        <x:f>SUM(F408:F411)</x:f>
        <x:v>0</x:v>
      </x:c>
      <x:c r="G407" s="666">
        <x:f>SUM(G408:G411)</x:f>
        <x:v>150000</x:v>
      </x:c>
      <x:c r="H407" s="665">
        <x:f>SUM(H408:H411)</x:f>
        <x:v>150000</x:v>
      </x:c>
      <x:c r="I407" s="664">
        <x:f>G407-H407</x:f>
        <x:v>0</x:v>
      </x:c>
      <x:c r="J407" s="666">
        <x:f>SUM(J408:J411)</x:f>
        <x:v>1660767</x:v>
      </x:c>
      <x:c r="K407" s="665">
        <x:f>SUM(K408:K411)</x:f>
        <x:v>300000</x:v>
      </x:c>
      <x:c r="L407" s="664">
        <x:f>C407-D407-G407-J407-K407</x:f>
        <x:v>9210097</x:v>
      </x:c>
      <x:c r="M407" s="651" t="s">
        <x:v>1341</x:v>
      </x:c>
    </x:row>
    <x:row r="408" spans="1:13" s="643" customFormat="1" ht="18.75" customHeight="1">
      <x:c r="A408" s="663"/>
      <x:c r="B408" s="662" t="s">
        <x:v>117</x:v>
      </x:c>
      <x:c r="C408" s="661">
        <x:f>D408+G408+J408+K408+L408</x:f>
        <x:v>9698501</x:v>
      </x:c>
      <x:c r="D408" s="660">
        <x:v>0</x:v>
      </x:c>
      <x:c r="E408" s="659">
        <x:v>0</x:v>
      </x:c>
      <x:c r="F408" s="671">
        <x:f>D408-E408</x:f>
        <x:v>0</x:v>
      </x:c>
      <x:c r="G408" s="660">
        <x:v>150000</x:v>
      </x:c>
      <x:c r="H408" s="659">
        <x:v>150000</x:v>
      </x:c>
      <x:c r="I408" s="658">
        <x:v>0</x:v>
      </x:c>
      <x:c r="J408" s="660">
        <x:v>1660767</x:v>
      </x:c>
      <x:c r="K408" s="659">
        <x:v>300000</x:v>
      </x:c>
      <x:c r="L408" s="658">
        <x:v>7587734</x:v>
      </x:c>
      <x:c r="M408" s="651" t="s">
        <x:v>1786</x:v>
      </x:c>
    </x:row>
    <x:row r="409" spans="1:13" s="643" customFormat="1" ht="18.75" customHeight="1">
      <x:c r="A409" s="663"/>
      <x:c r="B409" s="662" t="s">
        <x:v>148</x:v>
      </x:c>
      <x:c r="C409" s="661">
        <x:f>D409+G409+J409+K409+L409</x:f>
        <x:v>1282790</x:v>
      </x:c>
      <x:c r="D409" s="660">
        <x:v>0</x:v>
      </x:c>
      <x:c r="E409" s="659">
        <x:v>0</x:v>
      </x:c>
      <x:c r="F409" s="671">
        <x:v>0</x:v>
      </x:c>
      <x:c r="G409" s="660">
        <x:v>0</x:v>
      </x:c>
      <x:c r="H409" s="659">
        <x:v>0</x:v>
      </x:c>
      <x:c r="I409" s="658">
        <x:v>0</x:v>
      </x:c>
      <x:c r="J409" s="660">
        <x:v>0</x:v>
      </x:c>
      <x:c r="K409" s="659">
        <x:v>0</x:v>
      </x:c>
      <x:c r="L409" s="658">
        <x:v>1282790</x:v>
      </x:c>
      <x:c r="M409" s="651" t="s">
        <x:v>1348</x:v>
      </x:c>
    </x:row>
    <x:row r="410" spans="1:13" s="643" customFormat="1" ht="18.75" customHeight="1">
      <x:c r="A410" s="663"/>
      <x:c r="B410" s="662" t="s">
        <x:v>646</x:v>
      </x:c>
      <x:c r="C410" s="661">
        <x:f>D410+G410+J410+K410+L410</x:f>
        <x:v>20373</x:v>
      </x:c>
      <x:c r="D410" s="660">
        <x:v>0</x:v>
      </x:c>
      <x:c r="E410" s="659">
        <x:v>0</x:v>
      </x:c>
      <x:c r="F410" s="671">
        <x:v>0</x:v>
      </x:c>
      <x:c r="G410" s="660">
        <x:v>0</x:v>
      </x:c>
      <x:c r="H410" s="659">
        <x:v>0</x:v>
      </x:c>
      <x:c r="I410" s="658">
        <x:v>0</x:v>
      </x:c>
      <x:c r="J410" s="660">
        <x:v>0</x:v>
      </x:c>
      <x:c r="K410" s="659">
        <x:v>0</x:v>
      </x:c>
      <x:c r="L410" s="658">
        <x:v>20373</x:v>
      </x:c>
      <x:c r="M410" s="651" t="s">
        <x:v>1681</x:v>
      </x:c>
    </x:row>
    <x:row r="411" spans="1:13" s="643" customFormat="1" ht="18.75" customHeight="1">
      <x:c r="A411" s="657" t="s">
        <x:v>1362</x:v>
      </x:c>
      <x:c r="B411" s="656" t="s">
        <x:v>40</x:v>
      </x:c>
      <x:c r="C411" s="655">
        <x:f>D411+G411+J411+K411+L411</x:f>
        <x:v>319200</x:v>
      </x:c>
      <x:c r="D411" s="654">
        <x:v>0</x:v>
      </x:c>
      <x:c r="E411" s="653">
        <x:v>0</x:v>
      </x:c>
      <x:c r="F411" s="687">
        <x:v>0</x:v>
      </x:c>
      <x:c r="G411" s="654">
        <x:v>0</x:v>
      </x:c>
      <x:c r="H411" s="653">
        <x:v>0</x:v>
      </x:c>
      <x:c r="I411" s="652">
        <x:v>0</x:v>
      </x:c>
      <x:c r="J411" s="654">
        <x:v>0</x:v>
      </x:c>
      <x:c r="K411" s="653">
        <x:v>0</x:v>
      </x:c>
      <x:c r="L411" s="652">
        <x:v>319200</x:v>
      </x:c>
      <x:c r="M411" s="651"/>
    </x:row>
    <x:row r="412" spans="1:13" s="643" customFormat="1" ht="18.75" customHeight="1">
      <x:c r="A412" s="650"/>
      <x:c r="B412" s="649" t="s">
        <x:v>456</x:v>
      </x:c>
      <x:c r="C412" s="648">
        <x:f t="shared" ref="C412:L412" si="83">C407-C402</x:f>
        <x:v>0</x:v>
      </x:c>
      <x:c r="D412" s="647">
        <x:f t="shared" si="83"/>
        <x:v>0</x:v>
      </x:c>
      <x:c r="E412" s="646">
        <x:f t="shared" si="83"/>
        <x:v>0</x:v>
      </x:c>
      <x:c r="F412" s="686">
        <x:f t="shared" si="83"/>
        <x:v>0</x:v>
      </x:c>
      <x:c r="G412" s="647">
        <x:f t="shared" si="83"/>
        <x:v>0</x:v>
      </x:c>
      <x:c r="H412" s="646">
        <x:f t="shared" si="83"/>
        <x:v>0</x:v>
      </x:c>
      <x:c r="I412" s="645">
        <x:f t="shared" si="83"/>
        <x:v>0</x:v>
      </x:c>
      <x:c r="J412" s="647">
        <x:f t="shared" si="83"/>
        <x:v>-300000</x:v>
      </x:c>
      <x:c r="K412" s="646">
        <x:f t="shared" si="83"/>
        <x:v>-3516992</x:v>
      </x:c>
      <x:c r="L412" s="645">
        <x:f t="shared" si="83"/>
        <x:v>3816992</x:v>
      </x:c>
      <x:c r="M412" s="644" t="s">
        <x:v>1353</x:v>
      </x:c>
    </x:row>
    <x:row r="413" spans="1:13" s="643" customFormat="1" ht="18" customHeight="1">
      <x:c r="A413" s="685" t="s">
        <x:v>1356</x:v>
      </x:c>
      <x:c r="B413" s="684" t="s">
        <x:v>1295</x:v>
      </x:c>
      <x:c r="C413" s="683">
        <x:f>SUM(C414:C417)</x:f>
        <x:v>8257528</x:v>
      </x:c>
      <x:c r="D413" s="681">
        <x:f>SUM(D414:D417)</x:f>
        <x:v>0</x:v>
      </x:c>
      <x:c r="E413" s="680">
        <x:f>D413-F413</x:f>
        <x:v>0</x:v>
      </x:c>
      <x:c r="F413" s="682">
        <x:f>SUM(F414:F417)</x:f>
        <x:v>0</x:v>
      </x:c>
      <x:c r="G413" s="681">
        <x:f>SUM(G414:G417)</x:f>
        <x:v>0</x:v>
      </x:c>
      <x:c r="H413" s="680">
        <x:f>SUM(H414:H417)</x:f>
        <x:v>0</x:v>
      </x:c>
      <x:c r="I413" s="679">
        <x:f>G413-H413</x:f>
        <x:v>0</x:v>
      </x:c>
      <x:c r="J413" s="681">
        <x:f>SUM(J414:J417)</x:f>
        <x:v>1879435</x:v>
      </x:c>
      <x:c r="K413" s="680">
        <x:f>SUM(K414:K417)</x:f>
        <x:v>3695336</x:v>
      </x:c>
      <x:c r="L413" s="679">
        <x:f>SUM(L414:L417)</x:f>
        <x:v>2682757</x:v>
      </x:c>
      <x:c r="M413" s="678" t="s">
        <x:v>1668</x:v>
      </x:c>
    </x:row>
    <x:row r="414" spans="1:13" s="643" customFormat="1" ht="17.25" customHeight="1">
      <x:c r="A414" s="663" t="s">
        <x:v>1801</x:v>
      </x:c>
      <x:c r="B414" s="677" t="s">
        <x:v>117</x:v>
      </x:c>
      <x:c r="C414" s="676">
        <x:f>D414+G414+J414+K414+L414</x:f>
        <x:v>6919475</x:v>
      </x:c>
      <x:c r="D414" s="674">
        <x:v>0</x:v>
      </x:c>
      <x:c r="E414" s="673">
        <x:v>0</x:v>
      </x:c>
      <x:c r="F414" s="675">
        <x:v>0</x:v>
      </x:c>
      <x:c r="G414" s="674">
        <x:v>0</x:v>
      </x:c>
      <x:c r="H414" s="673">
        <x:v>0</x:v>
      </x:c>
      <x:c r="I414" s="672">
        <x:v>0</x:v>
      </x:c>
      <x:c r="J414" s="674">
        <x:v>1879435</x:v>
      </x:c>
      <x:c r="K414" s="673">
        <x:v>3024024</x:v>
      </x:c>
      <x:c r="L414" s="672">
        <x:v>2016016</x:v>
      </x:c>
      <x:c r="M414" s="651" t="s">
        <x:v>1803</x:v>
      </x:c>
    </x:row>
    <x:row r="415" spans="1:13" s="643" customFormat="1" ht="17.25" customHeight="1">
      <x:c r="A415" s="663" t="s">
        <x:v>1776</x:v>
      </x:c>
      <x:c r="B415" s="662" t="s">
        <x:v>148</x:v>
      </x:c>
      <x:c r="C415" s="661">
        <x:f>D415+G415+J415+K415+L415</x:f>
        <x:v>1100803</x:v>
      </x:c>
      <x:c r="D415" s="660">
        <x:v>0</x:v>
      </x:c>
      <x:c r="E415" s="659">
        <x:v>0</x:v>
      </x:c>
      <x:c r="F415" s="671">
        <x:v>0</x:v>
      </x:c>
      <x:c r="G415" s="660">
        <x:v>0</x:v>
      </x:c>
      <x:c r="H415" s="659">
        <x:v>0</x:v>
      </x:c>
      <x:c r="I415" s="658">
        <x:v>0</x:v>
      </x:c>
      <x:c r="J415" s="660">
        <x:v>0</x:v>
      </x:c>
      <x:c r="K415" s="659">
        <x:v>660482</x:v>
      </x:c>
      <x:c r="L415" s="658">
        <x:v>440321</x:v>
      </x:c>
      <x:c r="M415" s="651" t="s">
        <x:v>1802</x:v>
      </x:c>
    </x:row>
    <x:row r="416" spans="1:13" s="643" customFormat="1" ht="17.25" customHeight="1">
      <x:c r="A416" s="663" t="s">
        <x:v>1667</x:v>
      </x:c>
      <x:c r="B416" s="662" t="s">
        <x:v>646</x:v>
      </x:c>
      <x:c r="C416" s="661">
        <x:f>D416+G416+J416+K416+L416</x:f>
        <x:v>18050</x:v>
      </x:c>
      <x:c r="D416" s="660">
        <x:v>0</x:v>
      </x:c>
      <x:c r="E416" s="659">
        <x:v>0</x:v>
      </x:c>
      <x:c r="F416" s="671">
        <x:v>0</x:v>
      </x:c>
      <x:c r="G416" s="660">
        <x:v>0</x:v>
      </x:c>
      <x:c r="H416" s="659">
        <x:v>0</x:v>
      </x:c>
      <x:c r="I416" s="658">
        <x:v>0</x:v>
      </x:c>
      <x:c r="J416" s="660">
        <x:v>0</x:v>
      </x:c>
      <x:c r="K416" s="659">
        <x:v>10830</x:v>
      </x:c>
      <x:c r="L416" s="658">
        <x:v>7220</x:v>
      </x:c>
      <x:c r="M416" s="651" t="s">
        <x:v>463</x:v>
      </x:c>
    </x:row>
    <x:row r="417" spans="1:13" s="643" customFormat="1" ht="17.25" customHeight="1">
      <x:c r="A417" s="663" t="s">
        <x:v>1785</x:v>
      </x:c>
      <x:c r="B417" s="662" t="s">
        <x:v>40</x:v>
      </x:c>
      <x:c r="C417" s="661">
        <x:f>D417+G417+J417+K417+L417</x:f>
        <x:v>219200</x:v>
      </x:c>
      <x:c r="D417" s="660">
        <x:v>0</x:v>
      </x:c>
      <x:c r="E417" s="659">
        <x:v>0</x:v>
      </x:c>
      <x:c r="F417" s="671">
        <x:v>0</x:v>
      </x:c>
      <x:c r="G417" s="660">
        <x:v>0</x:v>
      </x:c>
      <x:c r="H417" s="659">
        <x:v>0</x:v>
      </x:c>
      <x:c r="I417" s="658">
        <x:v>0</x:v>
      </x:c>
      <x:c r="J417" s="660">
        <x:v>0</x:v>
      </x:c>
      <x:c r="K417" s="659"/>
      <x:c r="L417" s="658">
        <x:v>219200</x:v>
      </x:c>
      <x:c r="M417" s="670" t="s">
        <x:v>455</x:v>
      </x:c>
    </x:row>
    <x:row r="418" spans="1:13" s="643" customFormat="1" ht="18" customHeight="1">
      <x:c r="A418" s="663" t="s">
        <x:v>1800</x:v>
      </x:c>
      <x:c r="B418" s="669" t="s">
        <x:v>1294</x:v>
      </x:c>
      <x:c r="C418" s="668">
        <x:f>SUM(C419:C422)</x:f>
        <x:v>8257528</x:v>
      </x:c>
      <x:c r="D418" s="666">
        <x:f>SUM(D419:D422)</x:f>
        <x:v>0</x:v>
      </x:c>
      <x:c r="E418" s="665">
        <x:f>D418-F418</x:f>
        <x:v>0</x:v>
      </x:c>
      <x:c r="F418" s="667">
        <x:f>SUM(F419:F422)</x:f>
        <x:v>0</x:v>
      </x:c>
      <x:c r="G418" s="666">
        <x:f>SUM(G419:G422)</x:f>
        <x:v>0</x:v>
      </x:c>
      <x:c r="H418" s="665">
        <x:f>SUM(H419:H422)</x:f>
        <x:v>0</x:v>
      </x:c>
      <x:c r="I418" s="664">
        <x:f>G418-H418</x:f>
        <x:v>0</x:v>
      </x:c>
      <x:c r="J418" s="666">
        <x:f>SUM(J419:J422)</x:f>
        <x:v>1579435</x:v>
      </x:c>
      <x:c r="K418" s="665">
        <x:f>SUM(K419:K422)</x:f>
        <x:v>300000</x:v>
      </x:c>
      <x:c r="L418" s="664">
        <x:f>C418-D418-G418-J418-K418</x:f>
        <x:v>6378093</x:v>
      </x:c>
      <x:c r="M418" s="651" t="s">
        <x:v>1347</x:v>
      </x:c>
    </x:row>
    <x:row r="419" spans="1:13" s="643" customFormat="1" ht="17.25" customHeight="1">
      <x:c r="A419" s="663"/>
      <x:c r="B419" s="662" t="s">
        <x:v>117</x:v>
      </x:c>
      <x:c r="C419" s="661">
        <x:f>D419+G419+J419+K419+L419</x:f>
        <x:v>6919475</x:v>
      </x:c>
      <x:c r="D419" s="660">
        <x:v>0</x:v>
      </x:c>
      <x:c r="E419" s="659">
        <x:v>0</x:v>
      </x:c>
      <x:c r="F419" s="671">
        <x:v>0</x:v>
      </x:c>
      <x:c r="G419" s="660">
        <x:v>0</x:v>
      </x:c>
      <x:c r="H419" s="659">
        <x:v>0</x:v>
      </x:c>
      <x:c r="I419" s="658">
        <x:v>0</x:v>
      </x:c>
      <x:c r="J419" s="660">
        <x:v>1579435</x:v>
      </x:c>
      <x:c r="K419" s="659">
        <x:v>300000</x:v>
      </x:c>
      <x:c r="L419" s="658">
        <x:v>5040040</x:v>
      </x:c>
      <x:c r="M419" s="651" t="s">
        <x:v>1671</x:v>
      </x:c>
    </x:row>
    <x:row r="420" spans="1:13" s="643" customFormat="1" ht="17.25" customHeight="1">
      <x:c r="A420" s="663"/>
      <x:c r="B420" s="662" t="s">
        <x:v>148</x:v>
      </x:c>
      <x:c r="C420" s="661">
        <x:f>D420+G420+J420+K420+L420</x:f>
        <x:v>1100803</x:v>
      </x:c>
      <x:c r="D420" s="660">
        <x:v>0</x:v>
      </x:c>
      <x:c r="E420" s="659">
        <x:v>0</x:v>
      </x:c>
      <x:c r="F420" s="671">
        <x:v>0</x:v>
      </x:c>
      <x:c r="G420" s="660">
        <x:v>0</x:v>
      </x:c>
      <x:c r="H420" s="659">
        <x:v>0</x:v>
      </x:c>
      <x:c r="I420" s="658">
        <x:v>0</x:v>
      </x:c>
      <x:c r="J420" s="660">
        <x:v>0</x:v>
      </x:c>
      <x:c r="K420" s="659">
        <x:v>0</x:v>
      </x:c>
      <x:c r="L420" s="658">
        <x:v>1100803</x:v>
      </x:c>
      <x:c r="M420" s="651" t="s">
        <x:v>1355</x:v>
      </x:c>
    </x:row>
    <x:row r="421" spans="1:13" s="643" customFormat="1" ht="17.25" customHeight="1">
      <x:c r="A421" s="663"/>
      <x:c r="B421" s="662" t="s">
        <x:v>646</x:v>
      </x:c>
      <x:c r="C421" s="661">
        <x:f>D421+G421+J421+K421+L421</x:f>
        <x:v>18050</x:v>
      </x:c>
      <x:c r="D421" s="660">
        <x:v>0</x:v>
      </x:c>
      <x:c r="E421" s="659">
        <x:v>0</x:v>
      </x:c>
      <x:c r="F421" s="671">
        <x:v>0</x:v>
      </x:c>
      <x:c r="G421" s="660">
        <x:v>0</x:v>
      </x:c>
      <x:c r="H421" s="659">
        <x:v>0</x:v>
      </x:c>
      <x:c r="I421" s="658">
        <x:v>0</x:v>
      </x:c>
      <x:c r="J421" s="660">
        <x:v>0</x:v>
      </x:c>
      <x:c r="K421" s="659">
        <x:v>0</x:v>
      </x:c>
      <x:c r="L421" s="658">
        <x:v>18050</x:v>
      </x:c>
      <x:c r="M421" s="651" t="s">
        <x:v>1669</x:v>
      </x:c>
    </x:row>
    <x:row r="422" spans="1:13" s="643" customFormat="1" ht="17.25" customHeight="1">
      <x:c r="A422" s="657" t="s">
        <x:v>1362</x:v>
      </x:c>
      <x:c r="B422" s="656" t="s">
        <x:v>40</x:v>
      </x:c>
      <x:c r="C422" s="655">
        <x:f>D422+G422+J422+K422+L422</x:f>
        <x:v>219200</x:v>
      </x:c>
      <x:c r="D422" s="654">
        <x:v>0</x:v>
      </x:c>
      <x:c r="E422" s="653">
        <x:v>0</x:v>
      </x:c>
      <x:c r="F422" s="687">
        <x:v>0</x:v>
      </x:c>
      <x:c r="G422" s="654">
        <x:v>0</x:v>
      </x:c>
      <x:c r="H422" s="653">
        <x:v>0</x:v>
      </x:c>
      <x:c r="I422" s="652">
        <x:v>0</x:v>
      </x:c>
      <x:c r="J422" s="654">
        <x:v>0</x:v>
      </x:c>
      <x:c r="K422" s="653">
        <x:v>0</x:v>
      </x:c>
      <x:c r="L422" s="652">
        <x:v>219200</x:v>
      </x:c>
      <x:c r="M422" s="651"/>
    </x:row>
    <x:row r="423" spans="1:13" s="643" customFormat="1" ht="18" customHeight="1">
      <x:c r="A423" s="650"/>
      <x:c r="B423" s="649" t="s">
        <x:v>456</x:v>
      </x:c>
      <x:c r="C423" s="648">
        <x:f t="shared" ref="C423:L423" si="84">C418-C413</x:f>
        <x:v>0</x:v>
      </x:c>
      <x:c r="D423" s="647">
        <x:f t="shared" si="84"/>
        <x:v>0</x:v>
      </x:c>
      <x:c r="E423" s="646">
        <x:f t="shared" si="84"/>
        <x:v>0</x:v>
      </x:c>
      <x:c r="F423" s="686">
        <x:f t="shared" si="84"/>
        <x:v>0</x:v>
      </x:c>
      <x:c r="G423" s="647">
        <x:f t="shared" si="84"/>
        <x:v>0</x:v>
      </x:c>
      <x:c r="H423" s="646">
        <x:f t="shared" si="84"/>
        <x:v>0</x:v>
      </x:c>
      <x:c r="I423" s="645">
        <x:f t="shared" si="84"/>
        <x:v>0</x:v>
      </x:c>
      <x:c r="J423" s="647">
        <x:f t="shared" si="84"/>
        <x:v>-300000</x:v>
      </x:c>
      <x:c r="K423" s="646">
        <x:f t="shared" si="84"/>
        <x:v>-3395336</x:v>
      </x:c>
      <x:c r="L423" s="645">
        <x:f t="shared" si="84"/>
        <x:v>3695336</x:v>
      </x:c>
      <x:c r="M423" s="644" t="s">
        <x:v>1360</x:v>
      </x:c>
    </x:row>
    <x:row r="424" spans="1:13" s="643" customFormat="1" ht="18" customHeight="1">
      <x:c r="A424" s="685" t="s">
        <x:v>1358</x:v>
      </x:c>
      <x:c r="B424" s="684" t="s">
        <x:v>1295</x:v>
      </x:c>
      <x:c r="C424" s="683">
        <x:f>SUM(C425:C428)</x:f>
        <x:v>15001214</x:v>
      </x:c>
      <x:c r="D424" s="681">
        <x:f>SUM(D425:D428)</x:f>
        <x:v>5673730</x:v>
      </x:c>
      <x:c r="E424" s="680">
        <x:f>D424-F424</x:f>
        <x:v>5427060</x:v>
      </x:c>
      <x:c r="F424" s="682">
        <x:f>SUM(F425:F428)</x:f>
        <x:v>246670</x:v>
      </x:c>
      <x:c r="G424" s="681">
        <x:f>SUM(G425:G428)</x:f>
        <x:v>0</x:v>
      </x:c>
      <x:c r="H424" s="680">
        <x:f>SUM(H425:H428)</x:f>
        <x:v>0</x:v>
      </x:c>
      <x:c r="I424" s="679">
        <x:f>G424-H424</x:f>
        <x:v>0</x:v>
      </x:c>
      <x:c r="J424" s="681">
        <x:f>SUM(J425:J428)</x:f>
        <x:v>4916203</x:v>
      </x:c>
      <x:c r="K424" s="680">
        <x:f>SUM(K425:K428)</x:f>
        <x:v>4411281</x:v>
      </x:c>
      <x:c r="L424" s="679">
        <x:f>SUM(L425:L428)</x:f>
        <x:v>0</x:v>
      </x:c>
      <x:c r="M424" s="678" t="s">
        <x:v>1668</x:v>
      </x:c>
    </x:row>
    <x:row r="425" spans="1:13" s="643" customFormat="1" ht="17.25" customHeight="1">
      <x:c r="A425" s="663" t="s">
        <x:v>1797</x:v>
      </x:c>
      <x:c r="B425" s="677" t="s">
        <x:v>117</x:v>
      </x:c>
      <x:c r="C425" s="676">
        <x:f>D425+G425+J425+K425+L425</x:f>
        <x:v>13477821</x:v>
      </x:c>
      <x:c r="D425" s="674">
        <x:v>5673730</x:v>
      </x:c>
      <x:c r="E425" s="673">
        <x:v>5427060</x:v>
      </x:c>
      <x:c r="F425" s="675">
        <x:v>246670</x:v>
      </x:c>
      <x:c r="G425" s="674">
        <x:v>0</x:v>
      </x:c>
      <x:c r="H425" s="673">
        <x:v>0</x:v>
      </x:c>
      <x:c r="I425" s="672">
        <x:v>0</x:v>
      </x:c>
      <x:c r="J425" s="674">
        <x:v>4133687</x:v>
      </x:c>
      <x:c r="K425" s="673">
        <x:v>3670404</x:v>
      </x:c>
      <x:c r="L425" s="672">
        <x:v>0</x:v>
      </x:c>
      <x:c r="M425" s="651" t="s">
        <x:v>1796</x:v>
      </x:c>
    </x:row>
    <x:row r="426" spans="1:13" s="643" customFormat="1" ht="17.25" customHeight="1">
      <x:c r="A426" s="663" t="s">
        <x:v>1667</x:v>
      </x:c>
      <x:c r="B426" s="662" t="s">
        <x:v>148</x:v>
      </x:c>
      <x:c r="C426" s="661">
        <x:f>D426+G426+J426+K426+L426</x:f>
        <x:v>1286820</x:v>
      </x:c>
      <x:c r="D426" s="660">
        <x:v>0</x:v>
      </x:c>
      <x:c r="E426" s="659">
        <x:v>0</x:v>
      </x:c>
      <x:c r="F426" s="671">
        <x:v>0</x:v>
      </x:c>
      <x:c r="G426" s="660">
        <x:v>0</x:v>
      </x:c>
      <x:c r="H426" s="659">
        <x:v>0</x:v>
      </x:c>
      <x:c r="I426" s="658">
        <x:v>0</x:v>
      </x:c>
      <x:c r="J426" s="660">
        <x:v>772092</x:v>
      </x:c>
      <x:c r="K426" s="659">
        <x:v>514728</x:v>
      </x:c>
      <x:c r="L426" s="658">
        <x:v>0</x:v>
      </x:c>
      <x:c r="M426" s="651" t="s">
        <x:v>1346</x:v>
      </x:c>
    </x:row>
    <x:row r="427" spans="1:13" s="643" customFormat="1" ht="17.25" customHeight="1">
      <x:c r="A427" s="663" t="s">
        <x:v>13</x:v>
      </x:c>
      <x:c r="B427" s="662" t="s">
        <x:v>646</x:v>
      </x:c>
      <x:c r="C427" s="661">
        <x:f>D427+G427+J427+K427+L427</x:f>
        <x:v>17373</x:v>
      </x:c>
      <x:c r="D427" s="660">
        <x:v>0</x:v>
      </x:c>
      <x:c r="E427" s="659">
        <x:v>0</x:v>
      </x:c>
      <x:c r="F427" s="671">
        <x:v>0</x:v>
      </x:c>
      <x:c r="G427" s="660">
        <x:v>0</x:v>
      </x:c>
      <x:c r="H427" s="659">
        <x:v>0</x:v>
      </x:c>
      <x:c r="I427" s="658">
        <x:v>0</x:v>
      </x:c>
      <x:c r="J427" s="660">
        <x:v>10424</x:v>
      </x:c>
      <x:c r="K427" s="659">
        <x:v>6949</x:v>
      </x:c>
      <x:c r="L427" s="658">
        <x:v>0</x:v>
      </x:c>
      <x:c r="M427" s="651" t="s">
        <x:v>1783</x:v>
      </x:c>
    </x:row>
    <x:row r="428" spans="1:13" s="643" customFormat="1" ht="17.25" customHeight="1">
      <x:c r="A428" s="663" t="s">
        <x:v>1791</x:v>
      </x:c>
      <x:c r="B428" s="662" t="s">
        <x:v>40</x:v>
      </x:c>
      <x:c r="C428" s="661">
        <x:f>D428+G428+J428+K428+L428</x:f>
        <x:v>219200</x:v>
      </x:c>
      <x:c r="D428" s="660">
        <x:v>0</x:v>
      </x:c>
      <x:c r="E428" s="659">
        <x:v>0</x:v>
      </x:c>
      <x:c r="F428" s="671">
        <x:v>0</x:v>
      </x:c>
      <x:c r="G428" s="660">
        <x:v>0</x:v>
      </x:c>
      <x:c r="H428" s="659">
        <x:v>0</x:v>
      </x:c>
      <x:c r="I428" s="658">
        <x:v>0</x:v>
      </x:c>
      <x:c r="J428" s="660">
        <x:v>0</x:v>
      </x:c>
      <x:c r="K428" s="659">
        <x:v>219200</x:v>
      </x:c>
      <x:c r="L428" s="658">
        <x:v>0</x:v>
      </x:c>
      <x:c r="M428" s="651"/>
    </x:row>
    <x:row r="429" spans="1:13" s="643" customFormat="1" ht="18" customHeight="1">
      <x:c r="A429" s="663"/>
      <x:c r="B429" s="669" t="s">
        <x:v>1294</x:v>
      </x:c>
      <x:c r="C429" s="668">
        <x:f>SUM(C430:C433)</x:f>
        <x:v>15001214</x:v>
      </x:c>
      <x:c r="D429" s="666">
        <x:f>SUM(D430:D433)</x:f>
        <x:v>5673730</x:v>
      </x:c>
      <x:c r="E429" s="665">
        <x:f>D429-F429</x:f>
        <x:v>5427060</x:v>
      </x:c>
      <x:c r="F429" s="667">
        <x:f>SUM(F430:F433)</x:f>
        <x:v>246670</x:v>
      </x:c>
      <x:c r="G429" s="666">
        <x:f>SUM(G430:G433)</x:f>
        <x:v>0</x:v>
      </x:c>
      <x:c r="H429" s="665">
        <x:f>SUM(H430:H433)</x:f>
        <x:v>0</x:v>
      </x:c>
      <x:c r="I429" s="664">
        <x:f>G429-H429</x:f>
        <x:v>0</x:v>
      </x:c>
      <x:c r="J429" s="666">
        <x:f>SUM(J430:J433)</x:f>
        <x:v>248081</x:v>
      </x:c>
      <x:c r="K429" s="665">
        <x:f>SUM(K430:K433)</x:f>
        <x:v>4668122</x:v>
      </x:c>
      <x:c r="L429" s="664">
        <x:f>C429-D429-G429-J429-K429</x:f>
        <x:v>4411281</x:v>
      </x:c>
      <x:c r="M429" s="651"/>
    </x:row>
    <x:row r="430" spans="1:13" s="643" customFormat="1" ht="17.25" customHeight="1">
      <x:c r="A430" s="663"/>
      <x:c r="B430" s="662" t="s">
        <x:v>117</x:v>
      </x:c>
      <x:c r="C430" s="661">
        <x:f>D430+G430+J430+K430+L430</x:f>
        <x:v>13477821</x:v>
      </x:c>
      <x:c r="D430" s="660">
        <x:v>5673730</x:v>
      </x:c>
      <x:c r="E430" s="659">
        <x:v>5427060</x:v>
      </x:c>
      <x:c r="F430" s="671">
        <x:v>246670</x:v>
      </x:c>
      <x:c r="G430" s="660">
        <x:v>0</x:v>
      </x:c>
      <x:c r="H430" s="659">
        <x:v>0</x:v>
      </x:c>
      <x:c r="I430" s="658">
        <x:v>0</x:v>
      </x:c>
      <x:c r="J430" s="660">
        <x:v>248081</x:v>
      </x:c>
      <x:c r="K430" s="659">
        <x:v>3885606</x:v>
      </x:c>
      <x:c r="L430" s="658">
        <x:v>3670404</x:v>
      </x:c>
      <x:c r="M430" s="651"/>
    </x:row>
    <x:row r="431" spans="1:13" s="643" customFormat="1" ht="17.25" customHeight="1">
      <x:c r="A431" s="663"/>
      <x:c r="B431" s="662" t="s">
        <x:v>148</x:v>
      </x:c>
      <x:c r="C431" s="661">
        <x:f>D431+G431+J431+K431+L431</x:f>
        <x:v>1286820</x:v>
      </x:c>
      <x:c r="D431" s="660">
        <x:v>0</x:v>
      </x:c>
      <x:c r="E431" s="659">
        <x:v>0</x:v>
      </x:c>
      <x:c r="F431" s="671">
        <x:v>0</x:v>
      </x:c>
      <x:c r="G431" s="660">
        <x:v>0</x:v>
      </x:c>
      <x:c r="H431" s="659">
        <x:v>0</x:v>
      </x:c>
      <x:c r="I431" s="658">
        <x:v>0</x:v>
      </x:c>
      <x:c r="J431" s="660">
        <x:v>0</x:v>
      </x:c>
      <x:c r="K431" s="659">
        <x:v>772092</x:v>
      </x:c>
      <x:c r="L431" s="658">
        <x:v>514728</x:v>
      </x:c>
      <x:c r="M431" s="651"/>
    </x:row>
    <x:row r="432" spans="1:13" s="643" customFormat="1" ht="17.25" customHeight="1">
      <x:c r="A432" s="663"/>
      <x:c r="B432" s="662" t="s">
        <x:v>646</x:v>
      </x:c>
      <x:c r="C432" s="661">
        <x:f>D432+G432+J432+K432+L432</x:f>
        <x:v>17373</x:v>
      </x:c>
      <x:c r="D432" s="660">
        <x:v>0</x:v>
      </x:c>
      <x:c r="E432" s="659">
        <x:v>0</x:v>
      </x:c>
      <x:c r="F432" s="671">
        <x:v>0</x:v>
      </x:c>
      <x:c r="G432" s="660">
        <x:v>0</x:v>
      </x:c>
      <x:c r="H432" s="659">
        <x:v>0</x:v>
      </x:c>
      <x:c r="I432" s="658">
        <x:v>0</x:v>
      </x:c>
      <x:c r="J432" s="660">
        <x:v>0</x:v>
      </x:c>
      <x:c r="K432" s="659">
        <x:v>10424</x:v>
      </x:c>
      <x:c r="L432" s="658">
        <x:v>6949</x:v>
      </x:c>
      <x:c r="M432" s="651"/>
    </x:row>
    <x:row r="433" spans="1:13" s="643" customFormat="1" ht="17.25" customHeight="1">
      <x:c r="A433" s="657" t="s">
        <x:v>1362</x:v>
      </x:c>
      <x:c r="B433" s="656" t="s">
        <x:v>40</x:v>
      </x:c>
      <x:c r="C433" s="655">
        <x:f>D433+G433+J433+K433+L433</x:f>
        <x:v>219200</x:v>
      </x:c>
      <x:c r="D433" s="654">
        <x:v>0</x:v>
      </x:c>
      <x:c r="E433" s="653">
        <x:v>0</x:v>
      </x:c>
      <x:c r="F433" s="687">
        <x:v>0</x:v>
      </x:c>
      <x:c r="G433" s="654">
        <x:v>0</x:v>
      </x:c>
      <x:c r="H433" s="653">
        <x:v>0</x:v>
      </x:c>
      <x:c r="I433" s="652">
        <x:v>0</x:v>
      </x:c>
      <x:c r="J433" s="654">
        <x:v>0</x:v>
      </x:c>
      <x:c r="K433" s="653">
        <x:v>0</x:v>
      </x:c>
      <x:c r="L433" s="652">
        <x:v>219200</x:v>
      </x:c>
      <x:c r="M433" s="651"/>
    </x:row>
    <x:row r="434" spans="1:13" s="643" customFormat="1" ht="18" customHeight="1">
      <x:c r="A434" s="650"/>
      <x:c r="B434" s="649" t="s">
        <x:v>456</x:v>
      </x:c>
      <x:c r="C434" s="648">
        <x:f t="shared" ref="C434:L434" si="85">C429-C424</x:f>
        <x:v>0</x:v>
      </x:c>
      <x:c r="D434" s="647">
        <x:f t="shared" si="85"/>
        <x:v>0</x:v>
      </x:c>
      <x:c r="E434" s="646">
        <x:f t="shared" si="85"/>
        <x:v>0</x:v>
      </x:c>
      <x:c r="F434" s="686">
        <x:f t="shared" si="85"/>
        <x:v>0</x:v>
      </x:c>
      <x:c r="G434" s="647">
        <x:f t="shared" si="85"/>
        <x:v>0</x:v>
      </x:c>
      <x:c r="H434" s="646">
        <x:f t="shared" si="85"/>
        <x:v>0</x:v>
      </x:c>
      <x:c r="I434" s="645">
        <x:f t="shared" si="85"/>
        <x:v>0</x:v>
      </x:c>
      <x:c r="J434" s="647">
        <x:f t="shared" si="85"/>
        <x:v>-4668122</x:v>
      </x:c>
      <x:c r="K434" s="646">
        <x:f t="shared" si="85"/>
        <x:v>256841</x:v>
      </x:c>
      <x:c r="L434" s="645">
        <x:f t="shared" si="85"/>
        <x:v>4411281</x:v>
      </x:c>
      <x:c r="M434" s="644" t="s">
        <x:v>1353</x:v>
      </x:c>
    </x:row>
    <x:row r="435" spans="1:13" s="643" customFormat="1" ht="18" customHeight="1">
      <x:c r="A435" s="685" t="s">
        <x:v>1354</x:v>
      </x:c>
      <x:c r="B435" s="684" t="s">
        <x:v>1295</x:v>
      </x:c>
      <x:c r="C435" s="683">
        <x:f>SUM(C436:C439)</x:f>
        <x:v>7962887</x:v>
      </x:c>
      <x:c r="D435" s="681">
        <x:f>SUM(D436:D439)</x:f>
        <x:v>0</x:v>
      </x:c>
      <x:c r="E435" s="680">
        <x:f>D435-F435</x:f>
        <x:v>0</x:v>
      </x:c>
      <x:c r="F435" s="682">
        <x:f>SUM(F436:F439)</x:f>
        <x:v>0</x:v>
      </x:c>
      <x:c r="G435" s="681">
        <x:f>SUM(G436:G439)</x:f>
        <x:v>1717333</x:v>
      </x:c>
      <x:c r="H435" s="680">
        <x:f>SUM(H436:H439)</x:f>
        <x:v>1168285</x:v>
      </x:c>
      <x:c r="I435" s="679">
        <x:f>G435-H435</x:f>
        <x:v>549048</x:v>
      </x:c>
      <x:c r="J435" s="681">
        <x:f>SUM(J436:J439)</x:f>
        <x:v>260000</x:v>
      </x:c>
      <x:c r="K435" s="680">
        <x:f>SUM(K436:K439)</x:f>
        <x:v>3435693</x:v>
      </x:c>
      <x:c r="L435" s="679">
        <x:f>SUM(L436:L439)</x:f>
        <x:v>2549861</x:v>
      </x:c>
      <x:c r="M435" s="678" t="s">
        <x:v>1668</x:v>
      </x:c>
    </x:row>
    <x:row r="436" spans="1:13" s="643" customFormat="1" ht="18" customHeight="1">
      <x:c r="A436" s="663" t="s">
        <x:v>1774</x:v>
      </x:c>
      <x:c r="B436" s="677" t="s">
        <x:v>117</x:v>
      </x:c>
      <x:c r="C436" s="676">
        <x:f>D436+G436+J436+K436+L436</x:f>
        <x:v>6659711</x:v>
      </x:c>
      <x:c r="D436" s="674">
        <x:v>0</x:v>
      </x:c>
      <x:c r="E436" s="673">
        <x:v>0</x:v>
      </x:c>
      <x:c r="F436" s="675">
        <x:v>0</x:v>
      </x:c>
      <x:c r="G436" s="674">
        <x:v>1717333</x:v>
      </x:c>
      <x:c r="H436" s="673">
        <x:v>1168285</x:v>
      </x:c>
      <x:c r="I436" s="672">
        <x:f>G436-H436</x:f>
        <x:v>549048</x:v>
      </x:c>
      <x:c r="J436" s="674">
        <x:v>260000</x:v>
      </x:c>
      <x:c r="K436" s="673">
        <x:v>2785427</x:v>
      </x:c>
      <x:c r="L436" s="672">
        <x:v>1896951</x:v>
      </x:c>
      <x:c r="M436" s="651" t="s">
        <x:v>1670</x:v>
      </x:c>
    </x:row>
    <x:row r="437" spans="1:13" s="643" customFormat="1" ht="18" customHeight="1">
      <x:c r="A437" s="663" t="s">
        <x:v>1352</x:v>
      </x:c>
      <x:c r="B437" s="662" t="s">
        <x:v>148</x:v>
      </x:c>
      <x:c r="C437" s="661">
        <x:f>D437+G437+J437+K437+L437</x:f>
        <x:v>1071238</x:v>
      </x:c>
      <x:c r="D437" s="660">
        <x:v>0</x:v>
      </x:c>
      <x:c r="E437" s="659">
        <x:v>0</x:v>
      </x:c>
      <x:c r="F437" s="671">
        <x:v>0</x:v>
      </x:c>
      <x:c r="G437" s="660">
        <x:v>0</x:v>
      </x:c>
      <x:c r="H437" s="659">
        <x:v>0</x:v>
      </x:c>
      <x:c r="I437" s="658">
        <x:v>0</x:v>
      </x:c>
      <x:c r="J437" s="660">
        <x:v>0</x:v>
      </x:c>
      <x:c r="K437" s="659">
        <x:v>642623</x:v>
      </x:c>
      <x:c r="L437" s="658">
        <x:v>428615</x:v>
      </x:c>
      <x:c r="M437" s="651" t="s">
        <x:v>1795</x:v>
      </x:c>
    </x:row>
    <x:row r="438" spans="1:13" s="643" customFormat="1" ht="18" customHeight="1">
      <x:c r="A438" s="663" t="s">
        <x:v>1773</x:v>
      </x:c>
      <x:c r="B438" s="662" t="s">
        <x:v>646</x:v>
      </x:c>
      <x:c r="C438" s="661">
        <x:f>D438+G438+J438+K438+L438</x:f>
        <x:v>12738</x:v>
      </x:c>
      <x:c r="D438" s="660">
        <x:v>0</x:v>
      </x:c>
      <x:c r="E438" s="659">
        <x:v>0</x:v>
      </x:c>
      <x:c r="F438" s="671">
        <x:v>0</x:v>
      </x:c>
      <x:c r="G438" s="660">
        <x:v>0</x:v>
      </x:c>
      <x:c r="H438" s="659">
        <x:v>0</x:v>
      </x:c>
      <x:c r="I438" s="658">
        <x:v>0</x:v>
      </x:c>
      <x:c r="J438" s="660">
        <x:v>0</x:v>
      </x:c>
      <x:c r="K438" s="659">
        <x:v>7643</x:v>
      </x:c>
      <x:c r="L438" s="658">
        <x:v>5095</x:v>
      </x:c>
      <x:c r="M438" s="651" t="s">
        <x:v>464</x:v>
      </x:c>
    </x:row>
    <x:row r="439" spans="1:13" s="643" customFormat="1" ht="18" customHeight="1">
      <x:c r="A439" s="663" t="s">
        <x:v>1784</x:v>
      </x:c>
      <x:c r="B439" s="662" t="s">
        <x:v>40</x:v>
      </x:c>
      <x:c r="C439" s="661">
        <x:f>D439+G439+J439+K439+L439</x:f>
        <x:v>219200</x:v>
      </x:c>
      <x:c r="D439" s="660">
        <x:v>0</x:v>
      </x:c>
      <x:c r="E439" s="659">
        <x:v>0</x:v>
      </x:c>
      <x:c r="F439" s="671">
        <x:v>0</x:v>
      </x:c>
      <x:c r="G439" s="660">
        <x:v>0</x:v>
      </x:c>
      <x:c r="H439" s="659">
        <x:v>0</x:v>
      </x:c>
      <x:c r="I439" s="658">
        <x:v>0</x:v>
      </x:c>
      <x:c r="J439" s="660">
        <x:v>0</x:v>
      </x:c>
      <x:c r="K439" s="659">
        <x:v>0</x:v>
      </x:c>
      <x:c r="L439" s="658">
        <x:v>219200</x:v>
      </x:c>
      <x:c r="M439" s="651"/>
    </x:row>
    <x:row r="440" spans="1:13" s="643" customFormat="1" ht="18" customHeight="1">
      <x:c r="A440" s="663"/>
      <x:c r="B440" s="669" t="s">
        <x:v>1294</x:v>
      </x:c>
      <x:c r="C440" s="668">
        <x:f>SUM(C441:C444)</x:f>
        <x:v>7962887</x:v>
      </x:c>
      <x:c r="D440" s="666">
        <x:f>SUM(D441:D444)</x:f>
        <x:v>0</x:v>
      </x:c>
      <x:c r="E440" s="665">
        <x:f>D440-F440</x:f>
        <x:v>0</x:v>
      </x:c>
      <x:c r="F440" s="667">
        <x:f>SUM(F441:F444)</x:f>
        <x:v>0</x:v>
      </x:c>
      <x:c r="G440" s="666">
        <x:v>1717333</x:v>
      </x:c>
      <x:c r="H440" s="665">
        <x:v>1168285</x:v>
      </x:c>
      <x:c r="I440" s="665">
        <x:f>G440-H440</x:f>
        <x:v>549048</x:v>
      </x:c>
      <x:c r="J440" s="666">
        <x:f>SUM(J441:J444)</x:f>
        <x:v>260000</x:v>
      </x:c>
      <x:c r="K440" s="665">
        <x:f>SUM(K441:K444)</x:f>
        <x:v>931693</x:v>
      </x:c>
      <x:c r="L440" s="664">
        <x:f>C440-D440-G440-J440-K440</x:f>
        <x:v>5053861</x:v>
      </x:c>
      <x:c r="M440" s="651"/>
    </x:row>
    <x:row r="441" spans="1:13" s="643" customFormat="1" ht="18" customHeight="1">
      <x:c r="A441" s="663"/>
      <x:c r="B441" s="662" t="s">
        <x:v>117</x:v>
      </x:c>
      <x:c r="C441" s="661">
        <x:f>D441+G441+J441+K441+L441</x:f>
        <x:v>6659711</x:v>
      </x:c>
      <x:c r="D441" s="660">
        <x:v>0</x:v>
      </x:c>
      <x:c r="E441" s="659">
        <x:v>0</x:v>
      </x:c>
      <x:c r="F441" s="671">
        <x:v>0</x:v>
      </x:c>
      <x:c r="G441" s="660">
        <x:v>1717333</x:v>
      </x:c>
      <x:c r="H441" s="659">
        <x:v>1168285</x:v>
      </x:c>
      <x:c r="I441" s="659">
        <x:v>549048</x:v>
      </x:c>
      <x:c r="J441" s="660">
        <x:v>260000</x:v>
      </x:c>
      <x:c r="K441" s="659">
        <x:v>785427</x:v>
      </x:c>
      <x:c r="L441" s="658">
        <x:v>3896951</x:v>
      </x:c>
      <x:c r="M441" s="651"/>
    </x:row>
    <x:row r="442" spans="1:13" s="643" customFormat="1" ht="18" customHeight="1">
      <x:c r="A442" s="663" t="s">
        <x:v>1804</x:v>
      </x:c>
      <x:c r="B442" s="662" t="s">
        <x:v>148</x:v>
      </x:c>
      <x:c r="C442" s="661">
        <x:f>D442+G442+J442+K442+L442</x:f>
        <x:v>1071238</x:v>
      </x:c>
      <x:c r="D442" s="660">
        <x:v>0</x:v>
      </x:c>
      <x:c r="E442" s="659">
        <x:v>0</x:v>
      </x:c>
      <x:c r="F442" s="671">
        <x:v>0</x:v>
      </x:c>
      <x:c r="G442" s="660">
        <x:v>0</x:v>
      </x:c>
      <x:c r="H442" s="659">
        <x:v>0</x:v>
      </x:c>
      <x:c r="I442" s="658">
        <x:v>0</x:v>
      </x:c>
      <x:c r="J442" s="660">
        <x:v>0</x:v>
      </x:c>
      <x:c r="K442" s="659">
        <x:v>142623</x:v>
      </x:c>
      <x:c r="L442" s="658">
        <x:v>928615</x:v>
      </x:c>
      <x:c r="M442" s="651"/>
    </x:row>
    <x:row r="443" spans="1:13" s="643" customFormat="1" ht="18" customHeight="1">
      <x:c r="A443" s="663"/>
      <x:c r="B443" s="662" t="s">
        <x:v>646</x:v>
      </x:c>
      <x:c r="C443" s="661">
        <x:f>D443+G443+J443+K443+L443</x:f>
        <x:v>12738</x:v>
      </x:c>
      <x:c r="D443" s="660">
        <x:v>0</x:v>
      </x:c>
      <x:c r="E443" s="659">
        <x:v>0</x:v>
      </x:c>
      <x:c r="F443" s="671">
        <x:v>0</x:v>
      </x:c>
      <x:c r="G443" s="660">
        <x:v>0</x:v>
      </x:c>
      <x:c r="H443" s="659">
        <x:v>0</x:v>
      </x:c>
      <x:c r="I443" s="658">
        <x:v>0</x:v>
      </x:c>
      <x:c r="J443" s="660">
        <x:v>0</x:v>
      </x:c>
      <x:c r="K443" s="659">
        <x:v>3643</x:v>
      </x:c>
      <x:c r="L443" s="658">
        <x:v>9095</x:v>
      </x:c>
      <x:c r="M443" s="651"/>
    </x:row>
    <x:row r="444" spans="1:13" s="643" customFormat="1" ht="18" customHeight="1">
      <x:c r="A444" s="657" t="s">
        <x:v>1362</x:v>
      </x:c>
      <x:c r="B444" s="656" t="s">
        <x:v>40</x:v>
      </x:c>
      <x:c r="C444" s="655">
        <x:f>D444+G444+J444+K444+L444</x:f>
        <x:v>219200</x:v>
      </x:c>
      <x:c r="D444" s="654">
        <x:v>0</x:v>
      </x:c>
      <x:c r="E444" s="653">
        <x:v>0</x:v>
      </x:c>
      <x:c r="F444" s="687">
        <x:v>0</x:v>
      </x:c>
      <x:c r="G444" s="654">
        <x:v>0</x:v>
      </x:c>
      <x:c r="H444" s="653">
        <x:v>0</x:v>
      </x:c>
      <x:c r="I444" s="652">
        <x:v>0</x:v>
      </x:c>
      <x:c r="J444" s="654">
        <x:v>0</x:v>
      </x:c>
      <x:c r="K444" s="653"/>
      <x:c r="L444" s="652">
        <x:v>219200</x:v>
      </x:c>
      <x:c r="M444" s="651"/>
    </x:row>
    <x:row r="445" spans="1:13" s="643" customFormat="1" ht="18" customHeight="1">
      <x:c r="A445" s="650"/>
      <x:c r="B445" s="649" t="s">
        <x:v>456</x:v>
      </x:c>
      <x:c r="C445" s="648">
        <x:f t="shared" ref="C445:L445" si="86">C440-C435</x:f>
        <x:v>0</x:v>
      </x:c>
      <x:c r="D445" s="647">
        <x:f t="shared" si="86"/>
        <x:v>0</x:v>
      </x:c>
      <x:c r="E445" s="646">
        <x:f t="shared" si="86"/>
        <x:v>0</x:v>
      </x:c>
      <x:c r="F445" s="686">
        <x:f t="shared" si="86"/>
        <x:v>0</x:v>
      </x:c>
      <x:c r="G445" s="647">
        <x:f t="shared" si="86"/>
        <x:v>0</x:v>
      </x:c>
      <x:c r="H445" s="646">
        <x:f t="shared" si="86"/>
        <x:v>0</x:v>
      </x:c>
      <x:c r="I445" s="645">
        <x:f t="shared" si="86"/>
        <x:v>0</x:v>
      </x:c>
      <x:c r="J445" s="647">
        <x:f t="shared" si="86"/>
        <x:v>0</x:v>
      </x:c>
      <x:c r="K445" s="646">
        <x:f t="shared" si="86"/>
        <x:v>-2504000</x:v>
      </x:c>
      <x:c r="L445" s="645">
        <x:f t="shared" si="86"/>
        <x:v>2504000</x:v>
      </x:c>
      <x:c r="M445" s="644" t="s">
        <x:v>1353</x:v>
      </x:c>
    </x:row>
    <x:row r="446" spans="1:13" s="643" customFormat="1" ht="21" customHeight="1">
      <x:c r="A446" s="685" t="s">
        <x:v>1343</x:v>
      </x:c>
      <x:c r="B446" s="684" t="s">
        <x:v>1295</x:v>
      </x:c>
      <x:c r="C446" s="683">
        <x:f>SUM(C447:C450)</x:f>
        <x:v>7200407</x:v>
      </x:c>
      <x:c r="D446" s="681">
        <x:f>SUM(D447:D450)</x:f>
        <x:v>0</x:v>
      </x:c>
      <x:c r="E446" s="680">
        <x:f>D446-F446</x:f>
        <x:v>0</x:v>
      </x:c>
      <x:c r="F446" s="682">
        <x:f>SUM(F447:F450)</x:f>
        <x:v>0</x:v>
      </x:c>
      <x:c r="G446" s="681">
        <x:f>SUM(G447:G450)</x:f>
        <x:v>1154853</x:v>
      </x:c>
      <x:c r="H446" s="680">
        <x:f>SUM(H447:H450)</x:f>
        <x:v>924117</x:v>
      </x:c>
      <x:c r="I446" s="679">
        <x:f>G446-H446</x:f>
        <x:v>230736</x:v>
      </x:c>
      <x:c r="J446" s="681">
        <x:f>SUM(J447:J450)</x:f>
        <x:v>3495693</x:v>
      </x:c>
      <x:c r="K446" s="680">
        <x:f>SUM(K447:K450)</x:f>
        <x:v>2549861</x:v>
      </x:c>
      <x:c r="L446" s="679">
        <x:f>SUM(L447:L450)</x:f>
        <x:v>0</x:v>
      </x:c>
      <x:c r="M446" s="678" t="s">
        <x:v>1668</x:v>
      </x:c>
    </x:row>
    <x:row r="447" spans="1:13" s="643" customFormat="1" ht="21" customHeight="1">
      <x:c r="A447" s="663" t="s">
        <x:v>1799</x:v>
      </x:c>
      <x:c r="B447" s="677" t="s">
        <x:v>117</x:v>
      </x:c>
      <x:c r="C447" s="676">
        <x:f>D447+G447+J447+K447+L447</x:f>
        <x:v>5897231</x:v>
      </x:c>
      <x:c r="D447" s="674">
        <x:v>0</x:v>
      </x:c>
      <x:c r="E447" s="673">
        <x:v>0</x:v>
      </x:c>
      <x:c r="F447" s="675">
        <x:v>0</x:v>
      </x:c>
      <x:c r="G447" s="674">
        <x:v>1154853</x:v>
      </x:c>
      <x:c r="H447" s="673">
        <x:v>924117</x:v>
      </x:c>
      <x:c r="I447" s="672">
        <x:f>G447-H447</x:f>
        <x:v>230736</x:v>
      </x:c>
      <x:c r="J447" s="674">
        <x:v>2845427</x:v>
      </x:c>
      <x:c r="K447" s="673">
        <x:v>1896951</x:v>
      </x:c>
      <x:c r="L447" s="672"/>
      <x:c r="M447" s="651" t="s">
        <x:v>1772</x:v>
      </x:c>
    </x:row>
    <x:row r="448" spans="1:13" s="643" customFormat="1" ht="21" customHeight="1">
      <x:c r="A448" s="663" t="s">
        <x:v>1771</x:v>
      </x:c>
      <x:c r="B448" s="662" t="s">
        <x:v>148</x:v>
      </x:c>
      <x:c r="C448" s="661">
        <x:f>D448+G448+J448+K448+L448</x:f>
        <x:v>1071238</x:v>
      </x:c>
      <x:c r="D448" s="660">
        <x:v>0</x:v>
      </x:c>
      <x:c r="E448" s="659">
        <x:v>0</x:v>
      </x:c>
      <x:c r="F448" s="671">
        <x:v>0</x:v>
      </x:c>
      <x:c r="G448" s="660">
        <x:v>0</x:v>
      </x:c>
      <x:c r="H448" s="659">
        <x:v>0</x:v>
      </x:c>
      <x:c r="I448" s="658">
        <x:v>0</x:v>
      </x:c>
      <x:c r="J448" s="660">
        <x:v>642623</x:v>
      </x:c>
      <x:c r="K448" s="659">
        <x:v>428615</x:v>
      </x:c>
      <x:c r="L448" s="658"/>
      <x:c r="M448" s="651" t="s">
        <x:v>1792</x:v>
      </x:c>
    </x:row>
    <x:row r="449" spans="1:13" s="643" customFormat="1" ht="21" customHeight="1">
      <x:c r="A449" s="663" t="s">
        <x:v>1351</x:v>
      </x:c>
      <x:c r="B449" s="662" t="s">
        <x:v>646</x:v>
      </x:c>
      <x:c r="C449" s="661">
        <x:f>D449+G449+J449+K449+L449</x:f>
        <x:v>12738</x:v>
      </x:c>
      <x:c r="D449" s="660">
        <x:v>0</x:v>
      </x:c>
      <x:c r="E449" s="659">
        <x:v>0</x:v>
      </x:c>
      <x:c r="F449" s="671">
        <x:v>0</x:v>
      </x:c>
      <x:c r="G449" s="660">
        <x:v>0</x:v>
      </x:c>
      <x:c r="H449" s="659">
        <x:v>0</x:v>
      </x:c>
      <x:c r="I449" s="658">
        <x:v>0</x:v>
      </x:c>
      <x:c r="J449" s="660">
        <x:v>7643</x:v>
      </x:c>
      <x:c r="K449" s="659">
        <x:v>5095</x:v>
      </x:c>
      <x:c r="L449" s="658"/>
      <x:c r="M449" s="651" t="s">
        <x:v>1350</x:v>
      </x:c>
    </x:row>
    <x:row r="450" spans="1:13" s="643" customFormat="1" ht="21" customHeight="1">
      <x:c r="A450" s="663" t="s">
        <x:v>1790</x:v>
      </x:c>
      <x:c r="B450" s="662" t="s">
        <x:v>40</x:v>
      </x:c>
      <x:c r="C450" s="661">
        <x:f>D450+G450+J450+K450+L450</x:f>
        <x:v>219200</x:v>
      </x:c>
      <x:c r="D450" s="660">
        <x:v>0</x:v>
      </x:c>
      <x:c r="E450" s="659">
        <x:v>0</x:v>
      </x:c>
      <x:c r="F450" s="671">
        <x:v>0</x:v>
      </x:c>
      <x:c r="G450" s="660">
        <x:v>0</x:v>
      </x:c>
      <x:c r="H450" s="659">
        <x:v>0</x:v>
      </x:c>
      <x:c r="I450" s="658">
        <x:v>0</x:v>
      </x:c>
      <x:c r="J450" s="660"/>
      <x:c r="K450" s="659">
        <x:v>219200</x:v>
      </x:c>
      <x:c r="L450" s="658"/>
      <x:c r="M450" s="670" t="s">
        <x:v>455</x:v>
      </x:c>
    </x:row>
    <x:row r="451" spans="1:13" s="643" customFormat="1" ht="21" customHeight="1">
      <x:c r="A451" s="663" t="s">
        <x:v>1782</x:v>
      </x:c>
      <x:c r="B451" s="669" t="s">
        <x:v>1294</x:v>
      </x:c>
      <x:c r="C451" s="668">
        <x:f>SUM(C452:C455)</x:f>
        <x:v>7200407</x:v>
      </x:c>
      <x:c r="D451" s="666">
        <x:f>SUM(D452:D455)</x:f>
        <x:v>0</x:v>
      </x:c>
      <x:c r="E451" s="665">
        <x:f>D451-F451</x:f>
        <x:v>0</x:v>
      </x:c>
      <x:c r="F451" s="667">
        <x:f>SUM(F452:F455)</x:f>
        <x:v>0</x:v>
      </x:c>
      <x:c r="G451" s="666">
        <x:f>SUM(G452:G455)</x:f>
        <x:v>1154853</x:v>
      </x:c>
      <x:c r="H451" s="665">
        <x:f>SUM(H452:H455)</x:f>
        <x:v>924117</x:v>
      </x:c>
      <x:c r="I451" s="664">
        <x:f>G451-H451</x:f>
        <x:v>230736</x:v>
      </x:c>
      <x:c r="J451" s="666">
        <x:f>SUM(J452:J455)</x:f>
        <x:v>60000</x:v>
      </x:c>
      <x:c r="K451" s="665">
        <x:f>SUM(K452:K455)</x:f>
        <x:v>3909931</x:v>
      </x:c>
      <x:c r="L451" s="664">
        <x:f>C451-D451-G451-J451-K451</x:f>
        <x:v>2075623</x:v>
      </x:c>
      <x:c r="M451" s="651" t="s">
        <x:v>1798</x:v>
      </x:c>
    </x:row>
    <x:row r="452" spans="1:13" s="643" customFormat="1" ht="21" customHeight="1">
      <x:c r="A452" s="663"/>
      <x:c r="B452" s="662" t="s">
        <x:v>117</x:v>
      </x:c>
      <x:c r="C452" s="661">
        <x:f>D452+G452+J452+K452+L452</x:f>
        <x:v>5897231</x:v>
      </x:c>
      <x:c r="D452" s="660">
        <x:v>0</x:v>
      </x:c>
      <x:c r="E452" s="659">
        <x:v>0</x:v>
      </x:c>
      <x:c r="F452" s="658">
        <x:f>D452-E452</x:f>
        <x:v>0</x:v>
      </x:c>
      <x:c r="G452" s="660">
        <x:v>1154853</x:v>
      </x:c>
      <x:c r="H452" s="659">
        <x:v>924117</x:v>
      </x:c>
      <x:c r="I452" s="658">
        <x:v>230736</x:v>
      </x:c>
      <x:c r="J452" s="660">
        <x:v>60000</x:v>
      </x:c>
      <x:c r="K452" s="659">
        <x:v>3259665</x:v>
      </x:c>
      <x:c r="L452" s="658">
        <x:v>1422713</x:v>
      </x:c>
      <x:c r="M452" s="651" t="s">
        <x:v>1340</x:v>
      </x:c>
    </x:row>
    <x:row r="453" spans="1:13" s="643" customFormat="1" ht="21" customHeight="1">
      <x:c r="A453" s="663" t="s">
        <x:v>1804</x:v>
      </x:c>
      <x:c r="B453" s="662" t="s">
        <x:v>148</x:v>
      </x:c>
      <x:c r="C453" s="661">
        <x:f>D453+G453+J453+K453+L453</x:f>
        <x:v>1071238</x:v>
      </x:c>
      <x:c r="D453" s="660">
        <x:v>0</x:v>
      </x:c>
      <x:c r="E453" s="659">
        <x:v>0</x:v>
      </x:c>
      <x:c r="F453" s="658">
        <x:f>D453-E453</x:f>
        <x:v>0</x:v>
      </x:c>
      <x:c r="G453" s="660">
        <x:v>0</x:v>
      </x:c>
      <x:c r="H453" s="659">
        <x:v>0</x:v>
      </x:c>
      <x:c r="I453" s="658">
        <x:v>0</x:v>
      </x:c>
      <x:c r="J453" s="660">
        <x:v>0</x:v>
      </x:c>
      <x:c r="K453" s="659">
        <x:v>642623</x:v>
      </x:c>
      <x:c r="L453" s="658">
        <x:v>428615</x:v>
      </x:c>
      <x:c r="M453" s="651" t="s">
        <x:v>1794</x:v>
      </x:c>
    </x:row>
    <x:row r="454" spans="1:13" s="643" customFormat="1" ht="21" customHeight="1">
      <x:c r="A454" s="663"/>
      <x:c r="B454" s="662" t="s">
        <x:v>646</x:v>
      </x:c>
      <x:c r="C454" s="661">
        <x:f>D454+G454+J454+K454+L454</x:f>
        <x:v>12738</x:v>
      </x:c>
      <x:c r="D454" s="660">
        <x:v>0</x:v>
      </x:c>
      <x:c r="E454" s="659">
        <x:v>0</x:v>
      </x:c>
      <x:c r="F454" s="658">
        <x:f>D454-E454</x:f>
        <x:v>0</x:v>
      </x:c>
      <x:c r="G454" s="660">
        <x:v>0</x:v>
      </x:c>
      <x:c r="H454" s="659">
        <x:v>0</x:v>
      </x:c>
      <x:c r="I454" s="658">
        <x:v>0</x:v>
      </x:c>
      <x:c r="J454" s="660">
        <x:v>0</x:v>
      </x:c>
      <x:c r="K454" s="659">
        <x:v>7643</x:v>
      </x:c>
      <x:c r="L454" s="658">
        <x:v>5095</x:v>
      </x:c>
      <x:c r="M454" s="651" t="s">
        <x:v>1789</x:v>
      </x:c>
    </x:row>
    <x:row r="455" spans="1:13" s="643" customFormat="1" ht="21" customHeight="1">
      <x:c r="A455" s="657" t="s">
        <x:v>1362</x:v>
      </x:c>
      <x:c r="B455" s="656" t="s">
        <x:v>40</x:v>
      </x:c>
      <x:c r="C455" s="655">
        <x:f>D455+G455+J455+K455+L455</x:f>
        <x:v>219200</x:v>
      </x:c>
      <x:c r="D455" s="654">
        <x:v>0</x:v>
      </x:c>
      <x:c r="E455" s="653">
        <x:v>0</x:v>
      </x:c>
      <x:c r="F455" s="652">
        <x:f>D455-E455</x:f>
        <x:v>0</x:v>
      </x:c>
      <x:c r="G455" s="654">
        <x:v>0</x:v>
      </x:c>
      <x:c r="H455" s="653">
        <x:v>0</x:v>
      </x:c>
      <x:c r="I455" s="652">
        <x:v>0</x:v>
      </x:c>
      <x:c r="J455" s="654">
        <x:v>0</x:v>
      </x:c>
      <x:c r="K455" s="653"/>
      <x:c r="L455" s="652">
        <x:v>219200</x:v>
      </x:c>
      <x:c r="M455" s="651"/>
    </x:row>
    <x:row r="456" spans="1:13" s="643" customFormat="1" ht="21" customHeight="1">
      <x:c r="A456" s="650"/>
      <x:c r="B456" s="649" t="s">
        <x:v>456</x:v>
      </x:c>
      <x:c r="C456" s="648">
        <x:f t="shared" ref="C456:L456" si="87">C451-C446</x:f>
        <x:v>0</x:v>
      </x:c>
      <x:c r="D456" s="647">
        <x:f t="shared" si="87"/>
        <x:v>0</x:v>
      </x:c>
      <x:c r="E456" s="646">
        <x:f t="shared" si="87"/>
        <x:v>0</x:v>
      </x:c>
      <x:c r="F456" s="645">
        <x:f t="shared" si="87"/>
        <x:v>0</x:v>
      </x:c>
      <x:c r="G456" s="647">
        <x:f t="shared" si="87"/>
        <x:v>0</x:v>
      </x:c>
      <x:c r="H456" s="646">
        <x:f t="shared" si="87"/>
        <x:v>0</x:v>
      </x:c>
      <x:c r="I456" s="645">
        <x:f t="shared" si="87"/>
        <x:v>0</x:v>
      </x:c>
      <x:c r="J456" s="647">
        <x:f t="shared" si="87"/>
        <x:v>-3435693</x:v>
      </x:c>
      <x:c r="K456" s="646">
        <x:f t="shared" si="87"/>
        <x:v>1360070</x:v>
      </x:c>
      <x:c r="L456" s="645">
        <x:f t="shared" si="87"/>
        <x:v>2075623</x:v>
      </x:c>
      <x:c r="M456" s="644" t="s">
        <x:v>1361</x:v>
      </x:c>
    </x:row>
  </x:sheetData>
  <x:mergeCells count="10">
    <x:mergeCell ref="G3:I3"/>
    <x:mergeCell ref="A1:M1"/>
    <x:mergeCell ref="A3:A4"/>
    <x:mergeCell ref="B3:B4"/>
    <x:mergeCell ref="C3:C4"/>
    <x:mergeCell ref="D3:F3"/>
    <x:mergeCell ref="J3:J4"/>
    <x:mergeCell ref="K3:K4"/>
    <x:mergeCell ref="L3:L4"/>
    <x:mergeCell ref="M3:M4"/>
  </x:mergeCells>
  <x:pageMargins left="0.78736108541488647" right="0.78736108541488647" top="0.74791663885116577" bottom="0.74791663885116577" header="0.31486111879348755" footer="0.31486111879348755"/>
  <x:pageSetup paperSize="9" scale="79" firstPageNumber="1" fitToWidth="1" fitToHeight="0" orientation="landscape" usePrinterDefaults="1" blackAndWhite="0" draft="0" useFirstPageNumber="0" horizontalDpi="1200" verticalDpi="600" copies="1"/>
  <x:rowBreaks count="1" manualBreakCount="1">
    <x:brk id="31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>
    <x:tabColor rgb="ff0000ff"/>
  </x:sheetPr>
  <x:dimension ref="A1:O46"/>
  <x:sheetViews>
    <x:sheetView topLeftCell="A1" zoomScale="115" zoomScaleNormal="115" zoomScaleSheetLayoutView="75" workbookViewId="0">
      <x:selection activeCell="O3" activeCellId="0" sqref="O3:O3"/>
    </x:sheetView>
  </x:sheetViews>
  <x:sheetFormatPr defaultColWidth="9" defaultRowHeight="24.949999999999999" customHeight="1"/>
  <x:cols>
    <x:col min="1" max="1" width="17.25" style="2" customWidth="1"/>
    <x:col min="2" max="2" width="14.75" style="2" customWidth="1"/>
    <x:col min="3" max="3" width="5.875" style="2" customWidth="1"/>
    <x:col min="4" max="4" width="13.125" style="2" bestFit="1" customWidth="1"/>
    <x:col min="5" max="5" width="7.75" style="2" customWidth="1"/>
    <x:col min="6" max="6" width="13" style="2" customWidth="1"/>
    <x:col min="7" max="7" width="3.625" style="2" customWidth="1"/>
    <x:col min="8" max="8" width="17.125" style="2" customWidth="1"/>
    <x:col min="9" max="9" width="15" style="2" customWidth="1"/>
    <x:col min="10" max="10" width="6.375" style="2" bestFit="1" customWidth="1"/>
    <x:col min="11" max="11" width="14.625" style="2" customWidth="1"/>
    <x:col min="12" max="12" width="8" style="2" bestFit="1" customWidth="1"/>
    <x:col min="13" max="13" width="10.75" style="2" bestFit="1" customWidth="1"/>
    <x:col min="14" max="14" width="6.875" style="607" customWidth="1"/>
    <x:col min="15" max="15" width="10.5" style="2" bestFit="1" customWidth="1"/>
    <x:col min="16" max="16" width="9" style="2"/>
    <x:col min="17" max="18" width="20" style="2" customWidth="1"/>
    <x:col min="19" max="16384" width="9" style="2"/>
  </x:cols>
  <x:sheetData>
    <x:row r="1" spans="1:15" ht="30" customHeight="1">
      <x:c r="A1" s="511" t="s">
        <x:v>1793</x:v>
      </x:c>
      <x:c r="B1" s="512"/>
      <x:c r="C1" s="512"/>
      <x:c r="D1" s="512"/>
      <x:c r="E1" s="512"/>
      <x:c r="F1" s="512"/>
      <x:c r="G1" s="513"/>
      <x:c r="H1" s="514" t="s">
        <x:v>92</x:v>
      </x:c>
      <x:c r="I1" s="515">
        <x:v>42834815</x:v>
      </x:c>
      <x:c r="J1" s="516" t="s">
        <x:v>112</x:v>
      </x:c>
      <x:c r="K1" s="517">
        <x:f>IFERROR(INDEX('3. 일출(자체)'!R:R,MATCH("*예비비*",'3. 일출(자체)'!L:L,0)),0)</x:f>
        <x:v>0</x:v>
      </x:c>
      <x:c r="L1" s="516" t="s">
        <x:v>1338</x:v>
      </x:c>
      <x:c r="M1" s="518">
        <x:f>IFERROR(I1+K1,0)</x:f>
        <x:v>42834815</x:v>
      </x:c>
      <x:c r="O1" s="366"/>
    </x:row>
    <x:row r="2" spans="1:13" customHeight="1">
      <x:c r="A2" s="513"/>
      <x:c r="B2" s="513"/>
      <x:c r="C2" s="513"/>
      <x:c r="D2" s="513"/>
      <x:c r="E2" s="513"/>
      <x:c r="F2" s="513"/>
      <x:c r="G2" s="513"/>
      <x:c r="H2" s="513"/>
      <x:c r="I2" s="513"/>
      <x:c r="J2" s="513"/>
      <x:c r="K2" s="513"/>
      <x:c r="L2" s="513"/>
      <x:c r="M2" s="519" t="s">
        <x:v>1513</x:v>
      </x:c>
    </x:row>
    <x:row r="3" spans="1:13" ht="35.25" customHeight="1">
      <x:c r="A3" s="1042" t="s">
        <x:v>95</x:v>
      </x:c>
      <x:c r="B3" s="520" t="s">
        <x:v>1335</x:v>
      </x:c>
      <x:c r="C3" s="521"/>
      <x:c r="D3" s="521"/>
      <x:c r="E3" s="521"/>
      <x:c r="F3" s="521"/>
      <x:c r="G3" s="513"/>
      <x:c r="H3" s="1042" t="s">
        <x:v>95</x:v>
      </x:c>
      <x:c r="I3" s="520" t="s">
        <x:v>1336</x:v>
      </x:c>
      <x:c r="J3" s="521"/>
      <x:c r="K3" s="521"/>
      <x:c r="L3" s="521"/>
      <x:c r="M3" s="521"/>
    </x:row>
    <x:row r="4" spans="1:13" ht="29.25" customHeight="1">
      <x:c r="A4" s="1043"/>
      <x:c r="B4" s="522" t="s">
        <x:v>111</x:v>
      </x:c>
      <x:c r="C4" s="522" t="s">
        <x:v>97</x:v>
      </x:c>
      <x:c r="D4" s="522" t="s">
        <x:v>90</x:v>
      </x:c>
      <x:c r="E4" s="522" t="s">
        <x:v>97</x:v>
      </x:c>
      <x:c r="F4" s="522" t="s">
        <x:v>110</x:v>
      </x:c>
      <x:c r="G4" s="513"/>
      <x:c r="H4" s="1043"/>
      <x:c r="I4" s="522" t="s">
        <x:v>111</x:v>
      </x:c>
      <x:c r="J4" s="522" t="s">
        <x:v>97</x:v>
      </x:c>
      <x:c r="K4" s="522" t="s">
        <x:v>90</x:v>
      </x:c>
      <x:c r="L4" s="522" t="s">
        <x:v>97</x:v>
      </x:c>
      <x:c r="M4" s="522" t="s">
        <x:v>110</x:v>
      </x:c>
    </x:row>
    <x:row r="5" spans="1:14" customHeight="1">
      <x:c r="A5" s="523" t="s">
        <x:v>1329</x:v>
      </x:c>
      <x:c r="B5" s="524">
        <x:f>B6+B9</x:f>
        <x:v>-402425</x:v>
      </x:c>
      <x:c r="C5" s="525" t="str">
        <x:f>IF(B5='3. 일입'!$N$7,"OK","@@")</x:f>
        <x:v>OK</x:v>
      </x:c>
      <x:c r="D5" s="524">
        <x:f>D6+D9</x:f>
        <x:v>10128401</x:v>
      </x:c>
      <x:c r="E5" s="525" t="str">
        <x:f>IF(D5=SUM('3. 일출(자체)'!$P$6,'3. 일출(의존)'!$P$6),"OK","@@")</x:f>
        <x:v>OK</x:v>
      </x:c>
      <x:c r="F5" s="524">
        <x:f>F6+F9</x:f>
        <x:v>10530826</x:v>
      </x:c>
      <x:c r="G5" s="513"/>
      <x:c r="H5" s="523" t="s">
        <x:v>1329</x:v>
      </x:c>
      <x:c r="I5" s="524">
        <x:f>I6+I9</x:f>
        <x:v>0</x:v>
      </x:c>
      <x:c r="J5" s="525" t="str">
        <x:f>IF(I5=SUM('3. 일입'!P7:P7),"OK","@@")</x:f>
        <x:v>OK</x:v>
      </x:c>
      <x:c r="K5" s="524">
        <x:f>K6+K9</x:f>
        <x:v>0</x:v>
      </x:c>
      <x:c r="L5" s="525" t="str">
        <x:f>IF(K5=(SUM('3. 일출(자체)'!$R$6)+SUM('3. 일출(의존)'!$R$6)),"OK","@@")</x:f>
        <x:v>OK</x:v>
      </x:c>
      <x:c r="M5" s="524">
        <x:f>M6+M9</x:f>
        <x:v>0</x:v>
      </x:c>
      <x:c r="N5" s="607" t="str">
        <x:f>IF(M5=0,"OK","@@")</x:f>
        <x:v>OK</x:v>
      </x:c>
    </x:row>
    <x:row r="6" spans="1:14" customHeight="1">
      <x:c r="A6" s="526" t="s">
        <x:v>1330</x:v>
      </x:c>
      <x:c r="B6" s="527">
        <x:f>B7+B8</x:f>
        <x:v>-486525</x:v>
      </x:c>
      <x:c r="C6" s="528" t="str">
        <x:f>IF(B6=SUM('3. 일입'!$AB$7,'3. 일입'!$AC$7,'3. 일입'!$AD$7),"OK","@@")</x:f>
        <x:v>OK</x:v>
      </x:c>
      <x:c r="D6" s="527">
        <x:f>D7+D8</x:f>
        <x:v>10081051</x:v>
      </x:c>
      <x:c r="E6" s="528" t="str">
        <x:f>IF(D6=SUM(SUM('3. 일출(자체)'!$AC$6,'3. 일출(자체)'!$AD$6,'3. 일출(자체)'!$AE$6),SUM('3. 일출(의존)'!$AC$6,'3. 일출(의존)'!$AD$6,'3. 일출(의존)'!$AE$6)),"OK","@@")</x:f>
        <x:v>OK</x:v>
      </x:c>
      <x:c r="F6" s="527">
        <x:f>F7+F8</x:f>
        <x:v>10567576</x:v>
      </x:c>
      <x:c r="G6" s="513"/>
      <x:c r="H6" s="526" t="s">
        <x:v>1330</x:v>
      </x:c>
      <x:c r="I6" s="527">
        <x:f>I7+I8</x:f>
        <x:v>0</x:v>
      </x:c>
      <x:c r="J6" s="528" t="str">
        <x:f>IF(I6=SUM('3. 일입'!$AG$7,'3. 일입'!$AH$7,'3. 일입'!$AI$7),"OK","@@")</x:f>
        <x:v>OK</x:v>
      </x:c>
      <x:c r="K6" s="527">
        <x:f>K7+K8</x:f>
        <x:v>0</x:v>
      </x:c>
      <x:c r="L6" s="528" t="str">
        <x:f>IF(K6=SUM(SUM('3. 일출(자체)'!$AH$6,'3. 일출(자체)'!$AI$6,'3. 일출(자체)'!$AJ$6),SUM('3. 일출(의존)'!$AI$6,'3. 일출(의존)'!$AJ$6,'3. 일출(의존)'!$AK$6)),"OK","@@")</x:f>
        <x:v>OK</x:v>
      </x:c>
      <x:c r="M6" s="527">
        <x:f>M7+M8</x:f>
        <x:v>0</x:v>
      </x:c>
      <x:c r="N6" s="607" t="str">
        <x:f>IF(M6=0,"OK","@@")</x:f>
        <x:v>OK</x:v>
      </x:c>
    </x:row>
    <x:row r="7" spans="1:13" customHeight="1">
      <x:c r="A7" s="529" t="s">
        <x:v>1331</x:v>
      </x:c>
      <x:c r="B7" s="517">
        <x:f>SUMIFS('3. 일입'!$N$9:$N$2000,'3. 일입'!$Y$9:$Y$2000,"도비")</x:f>
        <x:v>-486525</x:v>
      </x:c>
      <x:c r="C7" s="530"/>
      <x:c r="D7" s="517">
        <x:f>'3. 일출(자체)'!P6</x:f>
        <x:v>5856907</x:v>
      </x:c>
      <x:c r="E7" s="530"/>
      <x:c r="F7" s="517">
        <x:f>D7-B7</x:f>
        <x:v>6343432</x:v>
      </x:c>
      <x:c r="G7" s="513"/>
      <x:c r="H7" s="529" t="s">
        <x:v>1331</x:v>
      </x:c>
      <x:c r="I7" s="517">
        <x:f>SUMIFS('3. 일입'!$P$9:$P$2000,'3. 일입'!$Y$9:$Y$2000,"도비")</x:f>
        <x:v>0</x:v>
      </x:c>
      <x:c r="J7" s="530"/>
      <x:c r="K7" s="517">
        <x:f>'3. 일출(자체)'!R6</x:f>
        <x:v>0</x:v>
      </x:c>
      <x:c r="L7" s="530"/>
      <x:c r="M7" s="517">
        <x:f>K7-I7</x:f>
        <x:v>0</x:v>
      </x:c>
    </x:row>
    <x:row r="8" spans="1:13" customHeight="1">
      <x:c r="A8" s="529" t="s">
        <x:v>1529</x:v>
      </x:c>
      <x:c r="B8" s="517">
        <x:f>SUMIFS('3. 일입'!$AD$7:$AD$2000,'3. 일입'!$AL$7:$AL$2000,"국비")+SUMIFS('3. 일입'!$AD$7:$AD$2000,'3. 일입'!$AL$7:$AL$2000,"균특")+SUMIFS('3. 일입'!$AD$7:$AD$2000,'3. 일입'!$AL$7:$AL$2000,"기금")+SUMIFS('3. 일입'!$AD$7:$AD$2000,'3. 일입'!$AL$7:$AL$2000,"특교")+SUMIFS('3. 일입'!$AD$7:$AD$2000,'3. 일입'!$AL$7:$AL$2000,"소교")+SUMIFS('3. 일입'!$AD$7:$AD$2000,'3. 일입'!$AL$7:$AL$2000,"소멸")</x:f>
        <x:v>0</x:v>
      </x:c>
      <x:c r="C8" s="530"/>
      <x:c r="D8" s="517">
        <x:f>'3. 일출(의존)'!AC6+'3. 일출(의존)'!AD6+'3. 일출(의존)'!AE6</x:f>
        <x:v>4224144</x:v>
      </x:c>
      <x:c r="E8" s="530"/>
      <x:c r="F8" s="517">
        <x:f>D8-B8</x:f>
        <x:v>4224144</x:v>
      </x:c>
      <x:c r="G8" s="513"/>
      <x:c r="H8" s="529" t="s">
        <x:v>1529</x:v>
      </x:c>
      <x:c r="I8" s="517">
        <x:f>SUMIFS('3. 일입'!$AI$7:$AI$2000,'3. 일입'!$AL$7:$AL$2000,"국비")+SUMIFS('3. 일입'!$AI$7:$AI$2000,'3. 일입'!$AL$7:$AL$2000,"균특")+SUMIFS('3. 일입'!$AI$7:$AI$2000,'3. 일입'!$AL$7:$AL$2000,"기금")+SUMIFS('3. 일입'!$AI$7:$AI$2000,'3. 일입'!$AL$7:$AL$2000,"특교")+SUMIFS('3. 일입'!$AI$7:$AI$2000,'3. 일입'!$AL$7:$AL$2000,"소교")+SUMIFS('3. 일입'!$AI$7:$AI$2000,'3. 일입'!$AL$7:$AL$2000,"소멸")</x:f>
        <x:v>0</x:v>
      </x:c>
      <x:c r="J8" s="530"/>
      <x:c r="K8" s="517">
        <x:f>'3. 일출(의존)'!AI6+'3. 일출(의존)'!AJ6+'3. 일출(의존)'!AK6</x:f>
        <x:v>0</x:v>
      </x:c>
      <x:c r="L8" s="530"/>
      <x:c r="M8" s="517">
        <x:f>K8-I8</x:f>
        <x:v>0</x:v>
      </x:c>
    </x:row>
    <x:row r="9" spans="1:14" customHeight="1">
      <x:c r="A9" s="526" t="s">
        <x:v>1334</x:v>
      </x:c>
      <x:c r="B9" s="527">
        <x:f>SUM(B10:B15)</x:f>
        <x:v>84100</x:v>
      </x:c>
      <x:c r="C9" s="528" t="str">
        <x:f>IF(B9='3. 일입'!$AA$7,"OK","@@")</x:f>
        <x:v>OK</x:v>
      </x:c>
      <x:c r="D9" s="527">
        <x:f>SUM(D10:D15)</x:f>
        <x:v>47350</x:v>
      </x:c>
      <x:c r="E9" s="528" t="str">
        <x:f>IF(D9='3. 일출(의존)'!$AB$6,"OK","@@")</x:f>
        <x:v>OK</x:v>
      </x:c>
      <x:c r="F9" s="527">
        <x:f>SUM(F10:F15)</x:f>
        <x:v>-36750</x:v>
      </x:c>
      <x:c r="G9" s="513"/>
      <x:c r="H9" s="526" t="s">
        <x:v>1334</x:v>
      </x:c>
      <x:c r="I9" s="527">
        <x:f>SUM(I10:I15)</x:f>
        <x:v>0</x:v>
      </x:c>
      <x:c r="J9" s="528" t="str">
        <x:f>IF(I9='3. 일입'!$AF$7,"OK","@@")</x:f>
        <x:v>OK</x:v>
      </x:c>
      <x:c r="K9" s="527">
        <x:f>SUM(K10:K15)</x:f>
        <x:v>0</x:v>
      </x:c>
      <x:c r="L9" s="528" t="str">
        <x:f>IF(K9='3. 일출(의존)'!$AH$6,"OK","@@")</x:f>
        <x:v>OK</x:v>
      </x:c>
      <x:c r="M9" s="527">
        <x:f>SUM(M10:M15)</x:f>
        <x:v>0</x:v>
      </x:c>
      <x:c r="N9" s="607" t="str">
        <x:f>IF(M9=0,"OK","@@")</x:f>
        <x:v>OK</x:v>
      </x:c>
    </x:row>
    <x:row r="10" spans="1:13" customHeight="1">
      <x:c r="A10" s="529" t="s">
        <x:v>99</x:v>
      </x:c>
      <x:c r="B10" s="517">
        <x:f>SUMIFS('3. 일입'!$AA$9:$AA$2000,'3. 일입'!$AL$9:$AL$2000,$A10)</x:f>
        <x:v>0</x:v>
      </x:c>
      <x:c r="C10" s="530"/>
      <x:c r="D10" s="517">
        <x:f>SUMIFS('3. 일출(의존)'!$AB$8:$AB$2000,'3. 일출(의존)'!$AP$8:$AP$2000,A10)</x:f>
        <x:v>0</x:v>
      </x:c>
      <x:c r="E10" s="530"/>
      <x:c r="F10" s="517">
        <x:f t="shared" ref="F10:F15" si="0">D10-B10</x:f>
        <x:v>0</x:v>
      </x:c>
      <x:c r="G10" s="513"/>
      <x:c r="H10" s="529" t="s">
        <x:v>99</x:v>
      </x:c>
      <x:c r="I10" s="517">
        <x:f>SUMIFS('3. 일입'!$AF$9:$AF$2000,'3. 일입'!$AL$9:$AL$2000,$A10)</x:f>
        <x:v>0</x:v>
      </x:c>
      <x:c r="J10" s="530"/>
      <x:c r="K10" s="517">
        <x:f>SUMIFS('3. 일출(의존)'!$AH$8:$AH$1989,'3. 일출(의존)'!$AP$8:$AP$1989,H10)</x:f>
        <x:v>0</x:v>
      </x:c>
      <x:c r="L10" s="530"/>
      <x:c r="M10" s="517">
        <x:f t="shared" ref="M10:M15" si="1">K10-I10</x:f>
        <x:v>0</x:v>
      </x:c>
    </x:row>
    <x:row r="11" spans="1:13" customHeight="1">
      <x:c r="A11" s="529" t="s">
        <x:v>87</x:v>
      </x:c>
      <x:c r="B11" s="517">
        <x:f>SUMIFS('3. 일입'!$AA$9:$AA$2000,'3. 일입'!$AL$9:$AL$2000,$A11)</x:f>
        <x:v>84100</x:v>
      </x:c>
      <x:c r="C11" s="530"/>
      <x:c r="D11" s="517">
        <x:f>SUMIFS('3. 일출(의존)'!$AB$8:$AB$2000,'3. 일출(의존)'!$AP$8:$AP$2000,A11)</x:f>
        <x:v>47350</x:v>
      </x:c>
      <x:c r="E11" s="530"/>
      <x:c r="F11" s="517">
        <x:f t="shared" si="0"/>
        <x:v>-36750</x:v>
      </x:c>
      <x:c r="G11" s="513"/>
      <x:c r="H11" s="529" t="s">
        <x:v>87</x:v>
      </x:c>
      <x:c r="I11" s="517">
        <x:f>SUMIFS('3. 일입'!$AF$9:$AF$2000,'3. 일입'!$AL$9:$AL$2000,$A11)</x:f>
        <x:v>0</x:v>
      </x:c>
      <x:c r="J11" s="530"/>
      <x:c r="K11" s="517">
        <x:f>SUMIFS('3. 일출(의존)'!$AH$8:$AH$1989,'3. 일출(의존)'!$AP$8:$AP$1989,H11)</x:f>
        <x:v>0</x:v>
      </x:c>
      <x:c r="L11" s="530"/>
      <x:c r="M11" s="517">
        <x:f t="shared" si="1"/>
        <x:v>0</x:v>
      </x:c>
    </x:row>
    <x:row r="12" spans="1:13" customHeight="1">
      <x:c r="A12" s="529" t="s">
        <x:v>113</x:v>
      </x:c>
      <x:c r="B12" s="517">
        <x:f>SUMIFS('3. 일입'!$AA$9:$AA$2000,'3. 일입'!$AL$9:$AL$2000,$A12)</x:f>
        <x:v>0</x:v>
      </x:c>
      <x:c r="C12" s="530"/>
      <x:c r="D12" s="517">
        <x:f>SUMIFS('3. 일출(의존)'!$AB$8:$AB$2000,'3. 일출(의존)'!$AP$8:$AP$2000,A12)</x:f>
        <x:v>0</x:v>
      </x:c>
      <x:c r="E12" s="530"/>
      <x:c r="F12" s="517">
        <x:f t="shared" si="0"/>
        <x:v>0</x:v>
      </x:c>
      <x:c r="G12" s="513"/>
      <x:c r="H12" s="529" t="s">
        <x:v>113</x:v>
      </x:c>
      <x:c r="I12" s="517">
        <x:f>SUMIFS('3. 일입'!$AF$9:$AF$2000,'3. 일입'!$AL$9:$AL$2000,$A12)</x:f>
        <x:v>0</x:v>
      </x:c>
      <x:c r="J12" s="530"/>
      <x:c r="K12" s="517">
        <x:f>SUMIFS('3. 일출(의존)'!$AH$8:$AH$1989,'3. 일출(의존)'!$AP$8:$AP$1989,H12)</x:f>
        <x:v>0</x:v>
      </x:c>
      <x:c r="L12" s="530"/>
      <x:c r="M12" s="517">
        <x:f t="shared" si="1"/>
        <x:v>0</x:v>
      </x:c>
    </x:row>
    <x:row r="13" spans="1:13" customHeight="1">
      <x:c r="A13" s="529" t="s">
        <x:v>114</x:v>
      </x:c>
      <x:c r="B13" s="517">
        <x:f>SUMIFS('3. 일입'!$AA$9:$AA$2000,'3. 일입'!$AL$9:$AL$2000,$A13)</x:f>
        <x:v>0</x:v>
      </x:c>
      <x:c r="C13" s="530"/>
      <x:c r="D13" s="517">
        <x:f>SUMIFS('3. 일출(의존)'!$AB$8:$AB$2000,'3. 일출(의존)'!$AP$8:$AP$2000,A13)</x:f>
        <x:v>0</x:v>
      </x:c>
      <x:c r="E13" s="530"/>
      <x:c r="F13" s="517">
        <x:f t="shared" si="0"/>
        <x:v>0</x:v>
      </x:c>
      <x:c r="G13" s="513"/>
      <x:c r="H13" s="529" t="s">
        <x:v>114</x:v>
      </x:c>
      <x:c r="I13" s="517">
        <x:f>SUMIFS('3. 일입'!$AF$9:$AF$2000,'3. 일입'!$AL$9:$AL$2000,$A13)</x:f>
        <x:v>0</x:v>
      </x:c>
      <x:c r="J13" s="530"/>
      <x:c r="K13" s="517">
        <x:f>SUMIFS('3. 일출(의존)'!$AH$8:$AH$1989,'3. 일출(의존)'!$AP$8:$AP$1989,H13)</x:f>
        <x:v>0</x:v>
      </x:c>
      <x:c r="L13" s="530"/>
      <x:c r="M13" s="517">
        <x:f t="shared" si="1"/>
        <x:v>0</x:v>
      </x:c>
    </x:row>
    <x:row r="14" spans="1:14" s="20" customFormat="1" customHeight="1">
      <x:c r="A14" s="529" t="s">
        <x:v>105</x:v>
      </x:c>
      <x:c r="B14" s="517">
        <x:f>SUMIFS('3. 일입'!$AA$9:$AA$2000,'3. 일입'!$AL$9:$AL$2000,$A14)</x:f>
        <x:v>0</x:v>
      </x:c>
      <x:c r="C14" s="530"/>
      <x:c r="D14" s="517">
        <x:f>SUMIFS('3. 일출(의존)'!$AB$8:$AB$2000,'3. 일출(의존)'!$AP$8:$AP$2000,A14)</x:f>
        <x:v>0</x:v>
      </x:c>
      <x:c r="E14" s="530"/>
      <x:c r="F14" s="517">
        <x:f t="shared" si="0"/>
        <x:v>0</x:v>
      </x:c>
      <x:c r="G14" s="513"/>
      <x:c r="H14" s="529" t="s">
        <x:v>105</x:v>
      </x:c>
      <x:c r="I14" s="517">
        <x:f>SUMIFS('3. 일입'!$AF$9:$AF$2000,'3. 일입'!$AL$9:$AL$2000,$A14)</x:f>
        <x:v>0</x:v>
      </x:c>
      <x:c r="J14" s="530"/>
      <x:c r="K14" s="517">
        <x:f>SUMIFS('3. 일출(의존)'!$AH$8:$AH$1989,'3. 일출(의존)'!$AP$8:$AP$1989,H14)</x:f>
        <x:v>0</x:v>
      </x:c>
      <x:c r="L14" s="530"/>
      <x:c r="M14" s="517">
        <x:f t="shared" si="1"/>
        <x:v>0</x:v>
      </x:c>
      <x:c r="N14" s="607"/>
    </x:row>
    <x:row r="15" spans="1:14" s="20" customFormat="1" customHeight="1">
      <x:c r="A15" s="529" t="s">
        <x:v>167</x:v>
      </x:c>
      <x:c r="B15" s="517">
        <x:f>SUMIFS('3. 일입'!$AA$9:$AA$2000,'3. 일입'!$AL$9:$AL$2000,$A15)</x:f>
        <x:v>0</x:v>
      </x:c>
      <x:c r="C15" s="530"/>
      <x:c r="D15" s="517">
        <x:f>SUMIFS('3. 일출(의존)'!$AB$8:$AB$2000,'3. 일출(의존)'!$AP$8:$AP$2000,A15)</x:f>
        <x:v>0</x:v>
      </x:c>
      <x:c r="E15" s="530"/>
      <x:c r="F15" s="517">
        <x:f t="shared" si="0"/>
        <x:v>0</x:v>
      </x:c>
      <x:c r="G15" s="513"/>
      <x:c r="H15" s="529" t="s">
        <x:v>167</x:v>
      </x:c>
      <x:c r="I15" s="517">
        <x:f>SUMIFS('3. 일입'!$AF$9:$AF$2000,'3. 일입'!$AL$9:$AL$2000,$A15)</x:f>
        <x:v>0</x:v>
      </x:c>
      <x:c r="J15" s="530"/>
      <x:c r="K15" s="517">
        <x:f>SUMIFS('3. 일출(의존)'!$AH$8:$AH$1989,'3. 일출(의존)'!$AP$8:$AP$1989,H15)</x:f>
        <x:v>0</x:v>
      </x:c>
      <x:c r="L15" s="530"/>
      <x:c r="M15" s="517">
        <x:f t="shared" si="1"/>
        <x:v>0</x:v>
      </x:c>
      <x:c r="N15" s="607"/>
    </x:row>
    <x:row r="17" spans="1:6" customHeight="1">
      <x:c r="A17" s="1044" t="s">
        <x:v>1339</x:v>
      </x:c>
      <x:c r="B17" s="1044"/>
      <x:c r="C17" s="1044"/>
      <x:c r="D17" s="1044"/>
      <x:c r="E17" s="1044"/>
      <x:c r="F17" s="1044"/>
    </x:row>
    <x:row r="18" spans="1:13" customHeight="1">
      <x:c r="A18" s="1042" t="s">
        <x:v>95</x:v>
      </x:c>
      <x:c r="B18" s="520" t="s">
        <x:v>1335</x:v>
      </x:c>
      <x:c r="C18" s="521"/>
      <x:c r="D18" s="521"/>
      <x:c r="E18" s="521"/>
      <x:c r="F18" s="521"/>
      <x:c r="G18" s="513"/>
      <x:c r="H18" s="1042" t="s">
        <x:v>95</x:v>
      </x:c>
      <x:c r="I18" s="520" t="s">
        <x:v>1336</x:v>
      </x:c>
      <x:c r="J18" s="521"/>
      <x:c r="K18" s="521"/>
      <x:c r="L18" s="521"/>
      <x:c r="M18" s="521"/>
    </x:row>
    <x:row r="19" spans="1:13" customHeight="1">
      <x:c r="A19" s="1043"/>
      <x:c r="B19" s="522" t="s">
        <x:v>111</x:v>
      </x:c>
      <x:c r="C19" s="522" t="s">
        <x:v>97</x:v>
      </x:c>
      <x:c r="D19" s="522" t="s">
        <x:v>90</x:v>
      </x:c>
      <x:c r="E19" s="522" t="s">
        <x:v>97</x:v>
      </x:c>
      <x:c r="F19" s="522" t="s">
        <x:v>110</x:v>
      </x:c>
      <x:c r="G19" s="513"/>
      <x:c r="H19" s="1043"/>
      <x:c r="I19" s="522" t="s">
        <x:v>111</x:v>
      </x:c>
      <x:c r="J19" s="522" t="s">
        <x:v>97</x:v>
      </x:c>
      <x:c r="K19" s="522" t="s">
        <x:v>90</x:v>
      </x:c>
      <x:c r="L19" s="522" t="s">
        <x:v>97</x:v>
      </x:c>
      <x:c r="M19" s="522" t="s">
        <x:v>110</x:v>
      </x:c>
    </x:row>
    <x:row r="20" spans="1:14" customHeight="1">
      <x:c r="A20" s="523" t="s">
        <x:v>1329</x:v>
      </x:c>
      <x:c r="B20" s="524">
        <x:f>B21+B24</x:f>
        <x:v>-464120</x:v>
      </x:c>
      <x:c r="C20" s="525" t="str">
        <x:f>IF(B20=(SUMIFS('3. 일입'!AC:AC,'3. 일입'!AO:AO,"지방채")+SUMIFS('3. 일입'!AD:AD,'3. 일입'!AO:AO,"지역개발기금")),"OK","@@")</x:f>
        <x:v>OK</x:v>
      </x:c>
      <x:c r="D20" s="524">
        <x:f>D21+D24</x:f>
        <x:v>-464120</x:v>
      </x:c>
      <x:c r="E20" s="525" t="str">
        <x:f>IF(D20=('3. 일출(자체)'!AD6+'3. 일출(자체)'!AE6+'3. 일출(의존)'!AD6+'3. 일출(의존)'!AE6),"OK","@@")</x:f>
        <x:v>OK</x:v>
      </x:c>
      <x:c r="F20" s="524">
        <x:f>F21+F24</x:f>
        <x:v>0</x:v>
      </x:c>
      <x:c r="G20" s="513"/>
      <x:c r="H20" s="523" t="s">
        <x:v>1329</x:v>
      </x:c>
      <x:c r="I20" s="524">
        <x:f>I21+I24</x:f>
        <x:v>0</x:v>
      </x:c>
      <x:c r="J20" s="525" t="str">
        <x:f>IF(I20=(SUMIFS('3. 일입'!AH:AH,'3. 일입'!AO:AO,"지방채")+SUMIFS('3. 일입'!AI:AI,'3. 일입'!AO:AO,"지역개발기금")),"OK","@@")</x:f>
        <x:v>OK</x:v>
      </x:c>
      <x:c r="K20" s="524">
        <x:f>K21+K24</x:f>
        <x:v>0</x:v>
      </x:c>
      <x:c r="L20" s="525" t="str">
        <x:f>IF(K20=('3. 일출(자체)'!AI6+'3. 일출(자체)'!AJ6+'3. 일출(의존)'!AJ6+'3. 일출(의존)'!AK6),"OK","@@")</x:f>
        <x:v>OK</x:v>
      </x:c>
      <x:c r="M20" s="524">
        <x:f>M21+M24</x:f>
        <x:v>0</x:v>
      </x:c>
      <x:c r="N20" s="607" t="str">
        <x:f>IF(M20=0,"OK","@@")</x:f>
        <x:v>OK</x:v>
      </x:c>
    </x:row>
    <x:row r="21" spans="1:13" customHeight="1">
      <x:c r="A21" s="526" t="s">
        <x:v>440</x:v>
      </x:c>
      <x:c r="B21" s="527">
        <x:f>SUM(B22:B23)</x:f>
        <x:v>-464120</x:v>
      </x:c>
      <x:c r="C21" s="528"/>
      <x:c r="D21" s="527">
        <x:f>SUM(D22:D23)</x:f>
        <x:v>-464120</x:v>
      </x:c>
      <x:c r="E21" s="528"/>
      <x:c r="F21" s="532"/>
      <x:c r="G21" s="513"/>
      <x:c r="H21" s="526" t="s">
        <x:v>440</x:v>
      </x:c>
      <x:c r="I21" s="527">
        <x:f>SUM(I22:I23)</x:f>
        <x:v>0</x:v>
      </x:c>
      <x:c r="J21" s="528"/>
      <x:c r="K21" s="527">
        <x:f>SUM(K22:K23)</x:f>
        <x:v>0</x:v>
      </x:c>
      <x:c r="L21" s="528"/>
      <x:c r="M21" s="532"/>
    </x:row>
    <x:row r="22" spans="1:14" s="20" customFormat="1" customHeight="1">
      <x:c r="A22" s="529" t="s">
        <x:v>153</x:v>
      </x:c>
      <x:c r="B22" s="517">
        <x:f>SUMIFS('3. 일입'!AC:AC,'3. 일입'!H:H,"=6*")</x:f>
        <x:v>-464120</x:v>
      </x:c>
      <x:c r="C22" s="530"/>
      <x:c r="D22" s="517">
        <x:f>SUMIFS('3. 일출(자체)'!AD:AD,'3. 일출(자체)'!AO:AO,"지방채")</x:f>
        <x:v>-464120</x:v>
      </x:c>
      <x:c r="E22" s="530"/>
      <x:c r="F22" s="531"/>
      <x:c r="G22" s="513"/>
      <x:c r="H22" s="529" t="s">
        <x:v>153</x:v>
      </x:c>
      <x:c r="I22" s="517">
        <x:f>SUMIFS('3. 일입'!AH:AH,'3. 일입'!H:H,"=6*")</x:f>
        <x:v>0</x:v>
      </x:c>
      <x:c r="J22" s="530"/>
      <x:c r="K22" s="517">
        <x:f>SUMIFS('3. 일출(자체)'!AI:AI,'3. 일출(자체)'!AO:AO,"지방채")</x:f>
        <x:v>0</x:v>
      </x:c>
      <x:c r="L22" s="530"/>
      <x:c r="M22" s="531"/>
      <x:c r="N22" s="607"/>
    </x:row>
    <x:row r="23" spans="1:14" s="20" customFormat="1" customHeight="1">
      <x:c r="A23" s="529" t="s">
        <x:v>879</x:v>
      </x:c>
      <x:c r="B23" s="517">
        <x:f>SUMIFS('3. 일입'!AD:AD,'3. 일입'!H:H,"722-02")</x:f>
        <x:v>0</x:v>
      </x:c>
      <x:c r="C23" s="530"/>
      <x:c r="D23" s="517">
        <x:f>SUMIFS('3. 일출(자체)'!AE:AE,'3. 일출(자체)'!AO:AO,"지역개발기금")</x:f>
        <x:v>0</x:v>
      </x:c>
      <x:c r="E23" s="530"/>
      <x:c r="F23" s="531"/>
      <x:c r="G23" s="513"/>
      <x:c r="H23" s="529" t="s">
        <x:v>879</x:v>
      </x:c>
      <x:c r="I23" s="517">
        <x:f>SUMIFS('3. 일입'!AI:AI,'3. 일입'!H:H,"722-02")</x:f>
        <x:v>0</x:v>
      </x:c>
      <x:c r="J23" s="530"/>
      <x:c r="K23" s="517">
        <x:f>SUMIFS('3. 일출(자체)'!AJ:AJ,'3. 일출(자체)'!AO:AO,"지역개발기금")</x:f>
        <x:v>0</x:v>
      </x:c>
      <x:c r="L23" s="530"/>
      <x:c r="M23" s="531"/>
      <x:c r="N23" s="607"/>
    </x:row>
    <x:row r="24" spans="1:13" customHeight="1">
      <x:c r="A24" s="526" t="s">
        <x:v>438</x:v>
      </x:c>
      <x:c r="B24" s="532"/>
      <x:c r="C24" s="528"/>
      <x:c r="D24" s="527">
        <x:f>SUM(D25:D26)</x:f>
        <x:v>0</x:v>
      </x:c>
      <x:c r="E24" s="528"/>
      <x:c r="F24" s="532"/>
      <x:c r="G24" s="513"/>
      <x:c r="H24" s="526" t="s">
        <x:v>438</x:v>
      </x:c>
      <x:c r="I24" s="532"/>
      <x:c r="J24" s="528"/>
      <x:c r="K24" s="527">
        <x:f>SUM(K25:K26)</x:f>
        <x:v>0</x:v>
      </x:c>
      <x:c r="L24" s="528"/>
      <x:c r="M24" s="532"/>
    </x:row>
    <x:row r="25" spans="1:13" customHeight="1">
      <x:c r="A25" s="529" t="s">
        <x:v>153</x:v>
      </x:c>
      <x:c r="B25" s="531"/>
      <x:c r="C25" s="530"/>
      <x:c r="D25" s="517">
        <x:f>SUMIFS('3. 일출(의존)'!AD:AD,'3. 일출(의존)'!AU:AU,"지방채")</x:f>
        <x:v>0</x:v>
      </x:c>
      <x:c r="E25" s="530"/>
      <x:c r="F25" s="531"/>
      <x:c r="G25" s="513"/>
      <x:c r="H25" s="529" t="s">
        <x:v>153</x:v>
      </x:c>
      <x:c r="I25" s="531"/>
      <x:c r="J25" s="530"/>
      <x:c r="K25" s="517">
        <x:f>SUMIFS('3. 일출(의존)'!AJ:AJ,'3. 일출(의존)'!AU:AU,"지방채")</x:f>
        <x:v>0</x:v>
      </x:c>
      <x:c r="L25" s="530"/>
      <x:c r="M25" s="531"/>
    </x:row>
    <x:row r="26" spans="1:13" customHeight="1">
      <x:c r="A26" s="529" t="s">
        <x:v>879</x:v>
      </x:c>
      <x:c r="B26" s="531"/>
      <x:c r="C26" s="530"/>
      <x:c r="D26" s="517">
        <x:f>SUMIFS('3. 일출(의존)'!AE:AE,'3. 일출(의존)'!AU:AU,"지역개발기금")</x:f>
        <x:v>0</x:v>
      </x:c>
      <x:c r="E26" s="530"/>
      <x:c r="F26" s="531"/>
      <x:c r="G26" s="513"/>
      <x:c r="H26" s="529" t="s">
        <x:v>879</x:v>
      </x:c>
      <x:c r="I26" s="531"/>
      <x:c r="J26" s="530"/>
      <x:c r="K26" s="517">
        <x:f>SUMIFS('3. 일출(의존)'!AK:AK,'3. 일출(의존)'!AU:AU,"지역개발기금")</x:f>
        <x:v>0</x:v>
      </x:c>
      <x:c r="L26" s="530"/>
      <x:c r="M26" s="531"/>
    </x:row>
    <x:row r="28" spans="1:13" customHeight="1">
      <x:c r="A28" s="1041" t="s">
        <x:v>1345</x:v>
      </x:c>
      <x:c r="B28" s="1041"/>
      <x:c r="C28" s="1041"/>
      <x:c r="D28" s="1041"/>
      <x:c r="E28" s="1041"/>
      <x:c r="F28" s="1041"/>
      <x:c r="G28" s="20"/>
      <x:c r="H28" s="20"/>
      <x:c r="I28" s="20"/>
      <x:c r="J28" s="20"/>
      <x:c r="K28" s="20"/>
      <x:c r="L28" s="20"/>
      <x:c r="M28" s="20"/>
    </x:row>
    <x:row r="29" spans="1:13" customHeight="1">
      <x:c r="A29" s="1042" t="s">
        <x:v>95</x:v>
      </x:c>
      <x:c r="B29" s="625" t="s">
        <x:v>1335</x:v>
      </x:c>
      <x:c r="C29" s="626"/>
      <x:c r="D29" s="626"/>
      <x:c r="E29" s="626"/>
      <x:c r="F29" s="626"/>
      <x:c r="G29" s="513"/>
      <x:c r="H29" s="1042" t="s">
        <x:v>95</x:v>
      </x:c>
      <x:c r="I29" s="625" t="s">
        <x:v>1336</x:v>
      </x:c>
      <x:c r="J29" s="626"/>
      <x:c r="K29" s="626"/>
      <x:c r="L29" s="626"/>
      <x:c r="M29" s="626"/>
    </x:row>
    <x:row r="30" spans="1:13" customHeight="1">
      <x:c r="A30" s="1043"/>
      <x:c r="B30" s="627" t="s">
        <x:v>1349</x:v>
      </x:c>
      <x:c r="C30" s="628" t="s">
        <x:v>460</x:v>
      </x:c>
      <x:c r="D30" s="629" t="s">
        <x:v>1298</x:v>
      </x:c>
      <x:c r="E30" s="628" t="s">
        <x:v>457</x:v>
      </x:c>
      <x:c r="F30" s="629" t="s">
        <x:v>110</x:v>
      </x:c>
      <x:c r="G30" s="513"/>
      <x:c r="H30" s="1043"/>
      <x:c r="I30" s="627" t="s">
        <x:v>1349</x:v>
      </x:c>
      <x:c r="J30" s="628" t="s">
        <x:v>460</x:v>
      </x:c>
      <x:c r="K30" s="629" t="s">
        <x:v>1298</x:v>
      </x:c>
      <x:c r="L30" s="628" t="s">
        <x:v>457</x:v>
      </x:c>
      <x:c r="M30" s="629" t="s">
        <x:v>110</x:v>
      </x:c>
    </x:row>
    <x:row r="31" spans="1:13" customHeight="1">
      <x:c r="A31" s="630" t="s">
        <x:v>1329</x:v>
      </x:c>
      <x:c r="B31" s="631">
        <x:f>SUM(B32:B33)</x:f>
        <x:v>0</x:v>
      </x:c>
      <x:c r="C31" s="632" t="str">
        <x:f>IF(B31='3. 일입'!$AD$7,"OK","@@")</x:f>
        <x:v>OK</x:v>
      </x:c>
      <x:c r="D31" s="631">
        <x:f>SUM(D32:D33)</x:f>
        <x:v>0</x:v>
      </x:c>
      <x:c r="E31" s="632" t="str">
        <x:f>IF(D31=B31,"OK","@@")</x:f>
        <x:v>OK</x:v>
      </x:c>
      <x:c r="F31" s="631">
        <x:f>D31-B31</x:f>
        <x:v>0</x:v>
      </x:c>
      <x:c r="G31" s="513"/>
      <x:c r="H31" s="630" t="s">
        <x:v>1329</x:v>
      </x:c>
      <x:c r="I31" s="631">
        <x:f>SUM(I32:I33)</x:f>
        <x:v>0</x:v>
      </x:c>
      <x:c r="J31" s="632" t="str">
        <x:f>IF(I31='3. 일입'!$AI$7,"OK","@@")</x:f>
        <x:v>OK</x:v>
      </x:c>
      <x:c r="K31" s="631">
        <x:f>SUM(K32:K33)</x:f>
        <x:v>0</x:v>
      </x:c>
      <x:c r="L31" s="632" t="str">
        <x:f>IF(K31=I31,"OK","@@")</x:f>
        <x:v>OK</x:v>
      </x:c>
      <x:c r="M31" s="631">
        <x:f>K31-I31</x:f>
        <x:v>0</x:v>
      </x:c>
    </x:row>
    <x:row r="32" spans="1:13" customHeight="1">
      <x:c r="A32" s="633" t="s">
        <x:v>1311</x:v>
      </x:c>
      <x:c r="B32" s="634">
        <x:f>'3. 일출(자체)'!AE6</x:f>
        <x:v>0</x:v>
      </x:c>
      <x:c r="C32" s="635"/>
      <x:c r="D32" s="1039">
        <x:f>SUMIFS('5. 기출'!P:P,'5. 기출'!D:D,"예산담당관",'5. 기출'!H:H,"704-01",'5. 기출'!L:L,"도 융자금")</x:f>
        <x:v>0</x:v>
      </x:c>
      <x:c r="E32" s="635"/>
      <x:c r="F32" s="531"/>
      <x:c r="G32" s="513"/>
      <x:c r="H32" s="633" t="s">
        <x:v>1311</x:v>
      </x:c>
      <x:c r="I32" s="636">
        <x:f>'3. 일출(자체)'!AJ6</x:f>
        <x:v>0</x:v>
      </x:c>
      <x:c r="J32" s="635"/>
      <x:c r="K32" s="1035">
        <x:f>SUMIFS('5. 기출'!R:R,'5. 기출'!D:D,"예산담당관",'5. 기출'!H:H,"704-01",'5. 기출'!L:L,"도 융자금")</x:f>
        <x:v>0</x:v>
      </x:c>
      <x:c r="L32" s="635"/>
      <x:c r="M32" s="637"/>
    </x:row>
    <x:row r="33" spans="1:13" customHeight="1">
      <x:c r="A33" s="633" t="s">
        <x:v>1303</x:v>
      </x:c>
      <x:c r="B33" s="634">
        <x:f>'3. 일출(의존)'!AE6</x:f>
        <x:v>0</x:v>
      </x:c>
      <x:c r="C33" s="635"/>
      <x:c r="D33" s="1040"/>
      <x:c r="E33" s="635"/>
      <x:c r="F33" s="531"/>
      <x:c r="G33" s="513"/>
      <x:c r="H33" s="633" t="s">
        <x:v>1303</x:v>
      </x:c>
      <x:c r="I33" s="636">
        <x:f>'3. 일출(의존)'!AK6</x:f>
        <x:v>0</x:v>
      </x:c>
      <x:c r="J33" s="635"/>
      <x:c r="K33" s="1036"/>
      <x:c r="L33" s="635"/>
      <x:c r="M33" s="637"/>
    </x:row>
    <x:row r="35" spans="1:13" customHeight="1">
      <x:c r="A35" s="1041" t="s">
        <x:v>1680</x:v>
      </x:c>
      <x:c r="B35" s="1041"/>
      <x:c r="C35" s="1041"/>
      <x:c r="D35" s="1041"/>
      <x:c r="E35" s="1041"/>
      <x:c r="F35" s="1041"/>
      <x:c r="G35" s="20"/>
      <x:c r="H35" s="20"/>
      <x:c r="I35" s="20"/>
      <x:c r="J35" s="20"/>
      <x:c r="K35" s="20"/>
      <x:c r="L35" s="20"/>
      <x:c r="M35" s="20"/>
    </x:row>
    <x:row r="36" spans="1:13" customHeight="1">
      <x:c r="A36" s="1042" t="s">
        <x:v>95</x:v>
      </x:c>
      <x:c r="B36" s="625" t="s">
        <x:v>1335</x:v>
      </x:c>
      <x:c r="C36" s="626"/>
      <x:c r="D36" s="626"/>
      <x:c r="E36" s="626"/>
      <x:c r="F36" s="626"/>
      <x:c r="G36" s="513"/>
      <x:c r="H36" s="1042" t="s">
        <x:v>95</x:v>
      </x:c>
      <x:c r="I36" s="625" t="s">
        <x:v>1336</x:v>
      </x:c>
      <x:c r="J36" s="626"/>
      <x:c r="K36" s="626"/>
      <x:c r="L36" s="626"/>
      <x:c r="M36" s="626"/>
    </x:row>
    <x:row r="37" spans="1:13" customHeight="1">
      <x:c r="A37" s="1043"/>
      <x:c r="B37" s="627" t="s">
        <x:v>130</x:v>
      </x:c>
      <x:c r="C37" s="629" t="s">
        <x:v>97</x:v>
      </x:c>
      <x:c r="D37" s="629" t="s">
        <x:v>409</x:v>
      </x:c>
      <x:c r="E37" s="629" t="s">
        <x:v>97</x:v>
      </x:c>
      <x:c r="F37" s="629" t="s">
        <x:v>110</x:v>
      </x:c>
      <x:c r="G37" s="513"/>
      <x:c r="H37" s="1043"/>
      <x:c r="I37" s="627" t="s">
        <x:v>130</x:v>
      </x:c>
      <x:c r="J37" s="629" t="s">
        <x:v>97</x:v>
      </x:c>
      <x:c r="K37" s="629" t="s">
        <x:v>409</x:v>
      </x:c>
      <x:c r="L37" s="629" t="s">
        <x:v>97</x:v>
      </x:c>
      <x:c r="M37" s="629" t="s">
        <x:v>110</x:v>
      </x:c>
    </x:row>
    <x:row r="38" spans="1:13" customHeight="1">
      <x:c r="A38" s="630" t="s">
        <x:v>1329</x:v>
      </x:c>
      <x:c r="B38" s="631">
        <x:f>B39+B43</x:f>
        <x:v>-687500</x:v>
      </x:c>
      <x:c r="C38" s="632"/>
      <x:c r="D38" s="631">
        <x:f>D39+D43</x:f>
        <x:v>-687500</x:v>
      </x:c>
      <x:c r="E38" s="632" t="str">
        <x:f>IF(D38=B38,"OK","@@")</x:f>
        <x:v>OK</x:v>
      </x:c>
      <x:c r="F38" s="631">
        <x:f>F39+F43</x:f>
        <x:v>0</x:v>
      </x:c>
      <x:c r="G38" s="513"/>
      <x:c r="H38" s="630" t="s">
        <x:v>1329</x:v>
      </x:c>
      <x:c r="I38" s="631">
        <x:f>I39+I43</x:f>
        <x:v>0</x:v>
      </x:c>
      <x:c r="J38" s="632"/>
      <x:c r="K38" s="631">
        <x:f>K39+K43</x:f>
        <x:v>0</x:v>
      </x:c>
      <x:c r="L38" s="632" t="str">
        <x:f>IF(K38=I38,"OK","@@")</x:f>
        <x:v>OK</x:v>
      </x:c>
      <x:c r="M38" s="631">
        <x:f>M39+M43</x:f>
        <x:v>0</x:v>
      </x:c>
    </x:row>
    <x:row r="39" spans="1:13" customHeight="1">
      <x:c r="A39" s="638" t="s">
        <x:v>1316</x:v>
      </x:c>
      <x:c r="B39" s="639">
        <x:f>SUM(B40:B42)</x:f>
        <x:v>-687500</x:v>
      </x:c>
      <x:c r="C39" s="640"/>
      <x:c r="D39" s="639">
        <x:f>D40+D42</x:f>
        <x:v>-687500</x:v>
      </x:c>
      <x:c r="E39" s="640" t="str">
        <x:f>IF(D39=B39,"OK","@@")</x:f>
        <x:v>OK</x:v>
      </x:c>
      <x:c r="F39" s="639">
        <x:f>D39-B39</x:f>
        <x:v>0</x:v>
      </x:c>
      <x:c r="G39" s="513"/>
      <x:c r="H39" s="638" t="s">
        <x:v>1316</x:v>
      </x:c>
      <x:c r="I39" s="639">
        <x:f>SUM(I40:I42)</x:f>
        <x:v>0</x:v>
      </x:c>
      <x:c r="J39" s="640"/>
      <x:c r="K39" s="639">
        <x:f>K40+K42</x:f>
        <x:v>0</x:v>
      </x:c>
      <x:c r="L39" s="640" t="str">
        <x:f>IF(K39=I39,"OK","@@")</x:f>
        <x:v>OK</x:v>
      </x:c>
      <x:c r="M39" s="639">
        <x:f>K39-I39</x:f>
        <x:v>0</x:v>
      </x:c>
    </x:row>
    <x:row r="40" spans="1:13" customHeight="1">
      <x:c r="A40" s="633" t="s">
        <x:v>1301</x:v>
      </x:c>
      <x:c r="B40" s="634">
        <x:f>SUMIFS('3. 일출(자체)'!P:P,'3. 일출(자체)'!H:H,"701-01")</x:f>
        <x:v>-687500</x:v>
      </x:c>
      <x:c r="C40" s="1032" t="s">
        <x:v>680</x:v>
      </x:c>
      <x:c r="D40" s="1039">
        <x:f>SUMIFS('4. 특입'!N:N,'4. 특입'!H:H,"721-03")+SUMIFS('3. 일입'!N:N,'3. 일입'!H:H,"721-03")</x:f>
        <x:v>-687500</x:v>
      </x:c>
      <x:c r="E40" s="1037" t="s">
        <x:v>790</x:v>
      </x:c>
      <x:c r="F40" s="531"/>
      <x:c r="G40" s="513"/>
      <x:c r="H40" s="633" t="s">
        <x:v>1301</x:v>
      </x:c>
      <x:c r="I40" s="636">
        <x:f>SUMIFS('3. 일출(자체)'!R:R,'3. 일출(자체)'!H:H,"701-01")</x:f>
        <x:v>0</x:v>
      </x:c>
      <x:c r="J40" s="1032" t="s">
        <x:v>680</x:v>
      </x:c>
      <x:c r="K40" s="1035">
        <x:f>SUMIFS('4. 특입'!P:P,'4. 특입'!H:H,"721-03")+SUMIFS('3. 일입'!P:P,'3. 일입'!H:H,"721-03")</x:f>
        <x:v>0</x:v>
      </x:c>
      <x:c r="L40" s="1037" t="s">
        <x:v>790</x:v>
      </x:c>
      <x:c r="M40" s="637"/>
    </x:row>
    <x:row r="41" spans="1:13" customHeight="1">
      <x:c r="A41" s="633" t="s">
        <x:v>462</x:v>
      </x:c>
      <x:c r="B41" s="634">
        <x:f>SUMIFS('4. 특출'!P:P,'4. 특출'!H:H,"701-01")</x:f>
        <x:v>0</x:v>
      </x:c>
      <x:c r="C41" s="1033"/>
      <x:c r="D41" s="1040"/>
      <x:c r="E41" s="1038"/>
      <x:c r="F41" s="531"/>
      <x:c r="G41" s="513"/>
      <x:c r="H41" s="633" t="s">
        <x:v>462</x:v>
      </x:c>
      <x:c r="I41" s="636">
        <x:f>SUMIFS('4. 특출'!R:R,'4. 특출'!H:H,"701-01")</x:f>
        <x:v>0</x:v>
      </x:c>
      <x:c r="J41" s="1033"/>
      <x:c r="K41" s="1036"/>
      <x:c r="L41" s="1038"/>
      <x:c r="M41" s="637"/>
    </x:row>
    <x:row r="42" spans="1:13" customHeight="1">
      <x:c r="A42" s="633" t="s">
        <x:v>461</x:v>
      </x:c>
      <x:c r="B42" s="634">
        <x:f>SUMIFS('5. 기출'!P:P,'5. 기출'!H:H,"701-01")</x:f>
        <x:v>0</x:v>
      </x:c>
      <x:c r="C42" s="1034"/>
      <x:c r="D42" s="634">
        <x:f>SUMIFS('4. 특입'!N:N,'4. 특입'!H:H,"721-04")+SUMIFS('3. 일입'!N:N,'3. 일입'!H:H,"721-04")</x:f>
        <x:v>0</x:v>
      </x:c>
      <x:c r="E42" s="641" t="s">
        <x:v>912</x:v>
      </x:c>
      <x:c r="F42" s="531"/>
      <x:c r="G42" s="513"/>
      <x:c r="H42" s="633" t="s">
        <x:v>461</x:v>
      </x:c>
      <x:c r="I42" s="636">
        <x:f>SUMIFS('5. 기출'!R:R,'5. 기출'!H:H,"701-01")</x:f>
        <x:v>0</x:v>
      </x:c>
      <x:c r="J42" s="1034"/>
      <x:c r="K42" s="636">
        <x:f>SUMIFS('4. 특입'!P:P,'4. 특입'!H:H,"721-04")+SUMIFS('3. 일입'!P:P,'3. 일입'!H:H,"721-04")</x:f>
        <x:v>0</x:v>
      </x:c>
      <x:c r="L42" s="641" t="s">
        <x:v>912</x:v>
      </x:c>
      <x:c r="M42" s="637"/>
    </x:row>
    <x:row r="43" spans="1:13" customHeight="1">
      <x:c r="A43" s="638" t="s">
        <x:v>1299</x:v>
      </x:c>
      <x:c r="B43" s="639">
        <x:f>SUM(B44:B46)</x:f>
        <x:v>0</x:v>
      </x:c>
      <x:c r="C43" s="642"/>
      <x:c r="D43" s="639">
        <x:f>D44+D46</x:f>
        <x:v>0</x:v>
      </x:c>
      <x:c r="E43" s="640" t="str">
        <x:f>IF(D43=B43,"OK","@@")</x:f>
        <x:v>OK</x:v>
      </x:c>
      <x:c r="F43" s="639">
        <x:f>D43-B43</x:f>
        <x:v>0</x:v>
      </x:c>
      <x:c r="G43" s="513"/>
      <x:c r="H43" s="638" t="s">
        <x:v>1299</x:v>
      </x:c>
      <x:c r="I43" s="639">
        <x:f>SUM(I44:I46)</x:f>
        <x:v>0</x:v>
      </x:c>
      <x:c r="J43" s="642"/>
      <x:c r="K43" s="639">
        <x:f>K44+K46</x:f>
        <x:v>0</x:v>
      </x:c>
      <x:c r="L43" s="640" t="str">
        <x:f>IF(K43=I43,"OK","@@")</x:f>
        <x:v>OK</x:v>
      </x:c>
      <x:c r="M43" s="639">
        <x:f>K43-I43</x:f>
        <x:v>0</x:v>
      </x:c>
    </x:row>
    <x:row r="44" spans="1:13" customHeight="1">
      <x:c r="A44" s="633" t="s">
        <x:v>1309</x:v>
      </x:c>
      <x:c r="B44" s="634">
        <x:f>SUMIFS('3. 일출(자체)'!P:P,'3. 일출(자체)'!H:H,"702-01")</x:f>
        <x:v>0</x:v>
      </x:c>
      <x:c r="C44" s="1032" t="s">
        <x:v>683</x:v>
      </x:c>
      <x:c r="D44" s="1039">
        <x:f>SUMIFS('5. 기입'!N:N,'5. 기입'!H:H,"721-03")</x:f>
        <x:v>0</x:v>
      </x:c>
      <x:c r="E44" s="1037" t="s">
        <x:v>790</x:v>
      </x:c>
      <x:c r="F44" s="531"/>
      <x:c r="G44" s="513"/>
      <x:c r="H44" s="633" t="s">
        <x:v>1309</x:v>
      </x:c>
      <x:c r="I44" s="636">
        <x:f>SUMIFS('3. 일출(자체)'!R:R,'3. 일출(자체)'!H:H,"702-01")</x:f>
        <x:v>0</x:v>
      </x:c>
      <x:c r="J44" s="1032" t="s">
        <x:v>683</x:v>
      </x:c>
      <x:c r="K44" s="1035">
        <x:f>SUMIFS('5. 기입'!P:P,'5. 기입'!H:H,"721-03")</x:f>
        <x:v>0</x:v>
      </x:c>
      <x:c r="L44" s="1037" t="s">
        <x:v>790</x:v>
      </x:c>
      <x:c r="M44" s="637"/>
    </x:row>
    <x:row r="45" spans="1:13" customHeight="1">
      <x:c r="A45" s="633" t="s">
        <x:v>1307</x:v>
      </x:c>
      <x:c r="B45" s="634">
        <x:f>SUMIFS('4. 특출'!P:P,'4. 특출'!H:H,"702-01")</x:f>
        <x:v>0</x:v>
      </x:c>
      <x:c r="C45" s="1033"/>
      <x:c r="D45" s="1040"/>
      <x:c r="E45" s="1038"/>
      <x:c r="F45" s="531"/>
      <x:c r="G45" s="513"/>
      <x:c r="H45" s="633" t="s">
        <x:v>1307</x:v>
      </x:c>
      <x:c r="I45" s="636">
        <x:f>SUMIFS('4. 특출'!R:R,'4. 특출'!H:H,"702-01")</x:f>
        <x:v>0</x:v>
      </x:c>
      <x:c r="J45" s="1033"/>
      <x:c r="K45" s="1036"/>
      <x:c r="L45" s="1038"/>
      <x:c r="M45" s="637"/>
    </x:row>
    <x:row r="46" spans="1:13" customHeight="1">
      <x:c r="A46" s="633" t="s">
        <x:v>1314</x:v>
      </x:c>
      <x:c r="B46" s="634">
        <x:f>SUMIFS('5. 기출'!P:P,'5. 기출'!H:H,"702-01")</x:f>
        <x:v>0</x:v>
      </x:c>
      <x:c r="C46" s="1034"/>
      <x:c r="D46" s="634">
        <x:f>SUMIFS('5. 기입'!N:N,'5. 기입'!H:H,"721-04")</x:f>
        <x:v>0</x:v>
      </x:c>
      <x:c r="E46" s="641" t="s">
        <x:v>912</x:v>
      </x:c>
      <x:c r="F46" s="531"/>
      <x:c r="G46" s="513"/>
      <x:c r="H46" s="633" t="s">
        <x:v>1314</x:v>
      </x:c>
      <x:c r="I46" s="636">
        <x:f>SUMIFS('5. 기출'!R:R,'5. 기출'!H:H,"702-01")</x:f>
        <x:v>0</x:v>
      </x:c>
      <x:c r="J46" s="1034"/>
      <x:c r="K46" s="636">
        <x:f>SUMIFS('5. 기입'!P:P,'5. 기입'!H:H,"721-04")</x:f>
        <x:v>0</x:v>
      </x:c>
      <x:c r="L46" s="641" t="s">
        <x:v>912</x:v>
      </x:c>
      <x:c r="M46" s="637"/>
    </x:row>
  </x:sheetData>
  <x:mergeCells count="25">
    <x:mergeCell ref="J40:J42"/>
    <x:mergeCell ref="K40:K41"/>
    <x:mergeCell ref="L40:L41"/>
    <x:mergeCell ref="C44:C46"/>
    <x:mergeCell ref="D44:D45"/>
    <x:mergeCell ref="E44:E45"/>
    <x:mergeCell ref="J44:J46"/>
    <x:mergeCell ref="K44:K45"/>
    <x:mergeCell ref="L44:L45"/>
    <x:mergeCell ref="A35:F35"/>
    <x:mergeCell ref="A36:A37"/>
    <x:mergeCell ref="H36:H37"/>
    <x:mergeCell ref="C40:C42"/>
    <x:mergeCell ref="D40:D41"/>
    <x:mergeCell ref="E40:E41"/>
    <x:mergeCell ref="A28:F28"/>
    <x:mergeCell ref="A29:A30"/>
    <x:mergeCell ref="H29:H30"/>
    <x:mergeCell ref="D32:D33"/>
    <x:mergeCell ref="K32:K33"/>
    <x:mergeCell ref="A3:A4"/>
    <x:mergeCell ref="H3:H4"/>
    <x:mergeCell ref="A18:A19"/>
    <x:mergeCell ref="H18:H19"/>
    <x:mergeCell ref="A17:F17"/>
  </x:mergeCells>
  <x:conditionalFormatting sqref="N20:N20 N5:N5">
    <x:cfRule type="containsText" dxfId="17" priority="6" operator="containsText" text="@@">
      <x:formula>NOT(ISERROR(SEARCH("@@",N5)))</x:formula>
    </x:cfRule>
  </x:conditionalFormatting>
  <x:conditionalFormatting sqref="N6:N6">
    <x:cfRule type="containsText" dxfId="16" priority="5" operator="containsText" text="@@">
      <x:formula>NOT(ISERROR(SEARCH("@@",N6)))</x:formula>
    </x:cfRule>
  </x:conditionalFormatting>
  <x:conditionalFormatting sqref="N9:N9">
    <x:cfRule type="containsText" dxfId="15" priority="4" operator="containsText" text="@@">
      <x:formula>NOT(ISERROR(SEARCH("@@",N9)))</x:formula>
    </x:cfRule>
  </x:conditionalFormatting>
  <x:conditionalFormatting sqref="N21:N21">
    <x:cfRule type="containsText" dxfId="14" priority="3" operator="containsText" text="@@">
      <x:formula>NOT(ISERROR(SEARCH("@@",N21)))</x:formula>
    </x:cfRule>
  </x:conditionalFormatting>
  <x:conditionalFormatting sqref="N24:N24">
    <x:cfRule type="containsText" dxfId="13" priority="2" operator="containsText" text="@@">
      <x:formula>NOT(ISERROR(SEARCH("@@",N24)))</x:formula>
    </x:cfRule>
  </x:conditionalFormatting>
  <x:conditionalFormatting sqref="N1:N1048576">
    <x:cfRule type="containsText" dxfId="12" priority="1" operator="containsText" text="@@">
      <x:formula>NOT(ISERROR(SEARCH("@@",N1)))</x:formula>
    </x:cfRule>
  </x:conditionalFormatting>
  <x:printOptions horizontalCentered="1" verticalCentered="1" headings="0" gridLines="0" gridLinesSet="1"/>
  <x:pageMargins left="0.31486111879348755" right="0.31486111879348755" top="0.74791663885116577" bottom="0.74791663885116577" header="0.31486111879348755" footer="0.31486111879348755"/>
  <x:pageSetup paperSize="8" scale="100" firstPageNumber="1" fitToWidth="1" fitToHeight="0" orientation="landscape" usePrinterDefaults="1" blackAndWhite="0" draft="0" useFirstPageNumber="0" horizontalDpi="600" verticalDpi="60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 filterMode="1"/>
  <x:dimension ref="A1:AN255"/>
  <x:sheetViews>
    <x:sheetView showFormulas="1" topLeftCell="Y1" zoomScaleNormal="100" zoomScaleSheetLayoutView="75" workbookViewId="0">
      <x:pane xSplit="0" ySplit="2" topLeftCell="Y3" activePane="bottomLeft" state="frozen"/>
      <x:selection pane="bottomLeft" activeCell="AF20" activeCellId="0" sqref="AF20:AF20"/>
    </x:sheetView>
  </x:sheetViews>
  <x:sheetFormatPr defaultColWidth="9.00390625" defaultRowHeight="20.100000000000001" customHeight="1"/>
  <x:cols>
    <x:col min="1" max="1" width="8" style="1" bestFit="1" customWidth="1"/>
    <x:col min="2" max="2" width="8.75" style="1" bestFit="1" customWidth="1"/>
    <x:col min="3" max="3" width="11.375" style="1" customWidth="1"/>
    <x:col min="4" max="4" width="8.5" style="1" customWidth="1"/>
    <x:col min="5" max="5" width="9.5" style="1" bestFit="1" customWidth="1"/>
    <x:col min="6" max="6" width="10.25" style="1" bestFit="1" customWidth="1"/>
    <x:col min="7" max="7" width="8.75" style="1" bestFit="1" customWidth="1"/>
    <x:col min="8" max="8" width="4.25" style="1" bestFit="1" customWidth="1"/>
    <x:col min="9" max="9" width="5" style="1" bestFit="1" customWidth="1"/>
    <x:col min="11" max="11" width="5" style="1" bestFit="1" customWidth="1"/>
    <x:col min="12" max="12" width="8" style="1" bestFit="1" customWidth="1"/>
    <x:col min="13" max="13" width="12.875" style="1" bestFit="1" customWidth="1"/>
    <x:col min="15" max="15" width="3.75" style="1" bestFit="1" customWidth="1"/>
    <x:col min="16" max="16" width="12.25" style="1" bestFit="1" customWidth="1"/>
  </x:cols>
  <x:sheetData>
    <x:row r="1" spans="11:30" customHeight="1">
      <x:c r="K1" s="1" t="s">
        <x:v>90</x:v>
      </x:c>
      <x:c r="O1" s="1" t="s">
        <x:v>111</x:v>
      </x:c>
      <x:c r="R1" s="1" t="s">
        <x:v>1292</x:v>
      </x:c>
      <x:c r="AD1" s="1" t="s">
        <x:v>1284</x:v>
      </x:c>
    </x:row>
    <x:row r="2" spans="1:40" customHeight="1">
      <x:c r="A2" s="280" t="s">
        <x:v>81</x:v>
      </x:c>
      <x:c r="B2" s="281" t="s">
        <x:v>1933</x:v>
      </x:c>
      <x:c r="C2" s="282" t="s">
        <x:v>74</x:v>
      </x:c>
      <x:c r="D2" s="20"/>
      <x:c r="E2" s="280" t="s">
        <x:v>1508</x:v>
      </x:c>
      <x:c r="F2" s="281" t="s">
        <x:v>1509</x:v>
      </x:c>
      <x:c r="G2" s="281" t="s">
        <x:v>147</x:v>
      </x:c>
      <x:c r="H2" s="281" t="s">
        <x:v>1950</x:v>
      </x:c>
      <x:c r="I2" s="282" t="s">
        <x:v>1008</x:v>
      </x:c>
      <x:c r="K2" s="245" t="s">
        <x:v>725</x:v>
      </x:c>
      <x:c r="L2" s="246" t="s">
        <x:v>115</x:v>
      </x:c>
      <x:c r="M2" s="247" t="s">
        <x:v>939</x:v>
      </x:c>
      <x:c r="O2" s="238" t="s">
        <x:v>119</x:v>
      </x:c>
      <x:c r="P2" s="239" t="s">
        <x:v>126</x:v>
      </x:c>
      <x:c r="R2" s="608" t="s">
        <x:v>1956</x:v>
      </x:c>
      <x:c r="S2" s="609" t="s">
        <x:v>1937</x:v>
      </x:c>
      <x:c r="T2" s="609" t="s">
        <x:v>519</x:v>
      </x:c>
      <x:c r="U2" s="609" t="s">
        <x:v>1938</x:v>
      </x:c>
      <x:c r="V2" s="609" t="s">
        <x:v>1512</x:v>
      </x:c>
      <x:c r="W2" s="609" t="s">
        <x:v>2005</x:v>
      </x:c>
      <x:c r="X2" s="609" t="s">
        <x:v>2020</x:v>
      </x:c>
      <x:c r="Y2" s="609" t="s">
        <x:v>1998</x:v>
      </x:c>
      <x:c r="Z2" s="609" t="s">
        <x:v>2022</x:v>
      </x:c>
      <x:c r="AA2" s="609" t="s">
        <x:v>61</x:v>
      </x:c>
      <x:c r="AB2" s="610" t="s">
        <x:v>1535</x:v>
      </x:c>
      <x:c r="AD2" s="608" t="s">
        <x:v>1956</x:v>
      </x:c>
      <x:c r="AE2" s="609" t="s">
        <x:v>1937</x:v>
      </x:c>
      <x:c r="AF2" s="609" t="s">
        <x:v>519</x:v>
      </x:c>
      <x:c r="AG2" s="609" t="s">
        <x:v>1938</x:v>
      </x:c>
      <x:c r="AH2" s="609" t="s">
        <x:v>1512</x:v>
      </x:c>
      <x:c r="AI2" s="609" t="s">
        <x:v>2005</x:v>
      </x:c>
      <x:c r="AJ2" s="609" t="s">
        <x:v>2020</x:v>
      </x:c>
      <x:c r="AK2" s="609" t="s">
        <x:v>1998</x:v>
      </x:c>
      <x:c r="AL2" s="609" t="s">
        <x:v>2022</x:v>
      </x:c>
      <x:c r="AM2" s="609" t="s">
        <x:v>61</x:v>
      </x:c>
      <x:c r="AN2" s="610" t="s">
        <x:v>1535</x:v>
      </x:c>
    </x:row>
    <x:row r="3" spans="1:40" customHeight="1">
      <x:c r="A3" s="248" t="s">
        <x:v>1949</x:v>
      </x:c>
      <x:c r="B3" s="313" t="s">
        <x:v>1956</x:v>
      </x:c>
      <x:c r="C3" s="289" t="s">
        <x:v>79</x:v>
      </x:c>
      <x:c r="D3" s="445"/>
      <x:c r="E3" s="560" t="s">
        <x:v>79</x:v>
      </x:c>
      <x:c r="F3" s="561" t="s">
        <x:v>1949</x:v>
      </x:c>
      <x:c r="G3" s="562" t="s">
        <x:v>1956</x:v>
      </x:c>
      <x:c r="H3" s="563" t="s">
        <x:v>174</x:v>
      </x:c>
      <x:c r="I3" s="564" t="s">
        <x:v>1052</x:v>
      </x:c>
      <x:c r="K3" s="249" t="s">
        <x:v>923</x:v>
      </x:c>
      <x:c r="L3" s="250" t="s">
        <x:v>132</x:v>
      </x:c>
      <x:c r="M3" s="251" t="s">
        <x:v>123</x:v>
      </x:c>
      <x:c r="O3" s="240"/>
      <x:c r="P3" s="204" t="s">
        <x:v>1579</x:v>
      </x:c>
      <x:c r="R3" s="611" t="s">
        <x:v>1949</x:v>
      </x:c>
      <x:c r="S3" s="612" t="s">
        <x:v>1014</x:v>
      </x:c>
      <x:c r="T3" s="612" t="s">
        <x:v>482</x:v>
      </x:c>
      <x:c r="U3" s="612" t="s">
        <x:v>533</x:v>
      </x:c>
      <x:c r="V3" s="612" t="s">
        <x:v>986</x:v>
      </x:c>
      <x:c r="W3" s="612" t="s">
        <x:v>1990</x:v>
      </x:c>
      <x:c r="X3" s="612" t="s">
        <x:v>498</x:v>
      </x:c>
      <x:c r="Y3" s="612" t="s">
        <x:v>992</x:v>
      </x:c>
      <x:c r="Z3" s="612" t="s">
        <x:v>2010</x:v>
      </x:c>
      <x:c r="AA3" s="612" t="s">
        <x:v>452</x:v>
      </x:c>
      <x:c r="AB3" s="613" t="s">
        <x:v>514</x:v>
      </x:c>
      <x:c r="AD3" s="611" t="s">
        <x:v>79</x:v>
      </x:c>
      <x:c r="AE3" s="612" t="s">
        <x:v>67</x:v>
      </x:c>
      <x:c r="AF3" s="612" t="s">
        <x:v>88</x:v>
      </x:c>
      <x:c r="AG3" s="612" t="s">
        <x:v>533</x:v>
      </x:c>
      <x:c r="AH3" s="612" t="s">
        <x:v>2000</x:v>
      </x:c>
      <x:c r="AI3" s="612" t="s">
        <x:v>56</x:v>
      </x:c>
      <x:c r="AJ3" s="612" t="s">
        <x:v>103</x:v>
      </x:c>
      <x:c r="AK3" s="612" t="s">
        <x:v>78</x:v>
      </x:c>
      <x:c r="AL3" s="612" t="s">
        <x:v>2026</x:v>
      </x:c>
      <x:c r="AM3" s="612" t="s">
        <x:v>169</x:v>
      </x:c>
      <x:c r="AN3" s="613" t="s">
        <x:v>987</x:v>
      </x:c>
    </x:row>
    <x:row r="4" spans="1:40" customHeight="1">
      <x:c r="A4" s="287" t="s">
        <x:v>1951</x:v>
      </x:c>
      <x:c r="B4" s="314" t="s">
        <x:v>1956</x:v>
      </x:c>
      <x:c r="C4" s="288" t="s">
        <x:v>79</x:v>
      </x:c>
      <x:c r="D4" s="20"/>
      <x:c r="E4" s="565" t="s">
        <x:v>79</x:v>
      </x:c>
      <x:c r="F4" s="566" t="s">
        <x:v>1951</x:v>
      </x:c>
      <x:c r="G4" s="567" t="s">
        <x:v>1956</x:v>
      </x:c>
      <x:c r="H4" s="568" t="s">
        <x:v>173</x:v>
      </x:c>
      <x:c r="I4" s="569" t="s">
        <x:v>1059</x:v>
      </x:c>
      <x:c r="K4" s="252" t="s">
        <x:v>540</x:v>
      </x:c>
      <x:c r="L4" s="253" t="s">
        <x:v>132</x:v>
      </x:c>
      <x:c r="M4" s="254" t="s">
        <x:v>930</x:v>
      </x:c>
      <x:c r="O4" s="240"/>
      <x:c r="P4" s="205" t="s">
        <x:v>729</x:v>
      </x:c>
      <x:c r="R4" s="614" t="s">
        <x:v>1951</x:v>
      </x:c>
      <x:c r="S4" s="615" t="s">
        <x:v>1041</x:v>
      </x:c>
      <x:c r="T4" s="615" t="s">
        <x:v>515</x:v>
      </x:c>
      <x:c r="U4" s="615" t="s">
        <x:v>1944</x:v>
      </x:c>
      <x:c r="V4" s="615" t="s">
        <x:v>1005</x:v>
      </x:c>
      <x:c r="W4" s="615" t="s">
        <x:v>2014</x:v>
      </x:c>
      <x:c r="X4" s="615" t="s">
        <x:v>513</x:v>
      </x:c>
      <x:c r="Y4" s="615" t="s">
        <x:v>887</x:v>
      </x:c>
      <x:c r="Z4" s="615" t="s">
        <x:v>906</x:v>
      </x:c>
      <x:c r="AA4" s="615" t="s">
        <x:v>994</x:v>
      </x:c>
      <x:c r="AB4" s="616" t="s">
        <x:v>952</x:v>
      </x:c>
      <x:c r="AD4" s="614" t="s">
        <x:v>478</x:v>
      </x:c>
      <x:c r="AE4" s="615" t="s">
        <x:v>1939</x:v>
      </x:c>
      <x:c r="AF4" s="615" t="s">
        <x:v>171</x:v>
      </x:c>
      <x:c r="AG4" s="615" t="s">
        <x:v>479</x:v>
      </x:c>
      <x:c r="AH4" s="615"/>
      <x:c r="AI4" s="615" t="s">
        <x:v>954</x:v>
      </x:c>
      <x:c r="AJ4" s="615" t="s">
        <x:v>525</x:v>
      </x:c>
      <x:c r="AK4" s="615" t="s">
        <x:v>85</x:v>
      </x:c>
      <x:c r="AL4" s="615" t="s">
        <x:v>1026</x:v>
      </x:c>
      <x:c r="AM4" s="615" t="s">
        <x:v>1002</x:v>
      </x:c>
      <x:c r="AN4" s="616" t="s">
        <x:v>1028</x:v>
      </x:c>
    </x:row>
    <x:row r="5" spans="1:40" customHeight="1">
      <x:c r="A5" s="192" t="s">
        <x:v>925</x:v>
      </x:c>
      <x:c r="B5" s="315" t="s">
        <x:v>1956</x:v>
      </x:c>
      <x:c r="C5" s="290" t="s">
        <x:v>478</x:v>
      </x:c>
      <x:c r="D5" s="20"/>
      <x:c r="E5" s="560" t="s">
        <x:v>478</x:v>
      </x:c>
      <x:c r="F5" s="561" t="s">
        <x:v>925</x:v>
      </x:c>
      <x:c r="G5" s="562" t="s">
        <x:v>1956</x:v>
      </x:c>
      <x:c r="H5" s="563" t="s">
        <x:v>168</x:v>
      </x:c>
      <x:c r="I5" s="564" t="s">
        <x:v>1065</x:v>
      </x:c>
      <x:c r="K5" s="252" t="s">
        <x:v>546</x:v>
      </x:c>
      <x:c r="L5" s="253" t="s">
        <x:v>132</x:v>
      </x:c>
      <x:c r="M5" s="254" t="s">
        <x:v>1647</x:v>
      </x:c>
      <x:c r="O5" s="240"/>
      <x:c r="P5" s="206" t="s">
        <x:v>752</x:v>
      </x:c>
      <x:c r="R5" s="614" t="s">
        <x:v>925</x:v>
      </x:c>
      <x:c r="S5" s="615" t="s">
        <x:v>1015</x:v>
      </x:c>
      <x:c r="T5" s="615" t="s">
        <x:v>949</x:v>
      </x:c>
      <x:c r="U5" s="615" t="s">
        <x:v>486</x:v>
      </x:c>
      <x:c r="V5" s="615" t="s">
        <x:v>931</x:v>
      </x:c>
      <x:c r="W5" s="615" t="s">
        <x:v>2011</x:v>
      </x:c>
      <x:c r="X5" s="615" t="s">
        <x:v>2021</x:v>
      </x:c>
      <x:c r="Y5" s="615" t="s">
        <x:v>2008</x:v>
      </x:c>
      <x:c r="Z5" s="615" t="s">
        <x:v>915</x:v>
      </x:c>
      <x:c r="AA5" s="615" t="s">
        <x:v>449</x:v>
      </x:c>
      <x:c r="AB5" s="616" t="s">
        <x:v>523</x:v>
      </x:c>
      <x:c r="AD5" s="614" t="s">
        <x:v>932</x:v>
      </x:c>
      <x:c r="AE5" s="615" t="s">
        <x:v>1953</x:v>
      </x:c>
      <x:c r="AF5" s="615" t="s">
        <x:v>1004</x:v>
      </x:c>
      <x:c r="AG5" s="615" t="s">
        <x:v>1936</x:v>
      </x:c>
      <x:c r="AH5" s="615"/>
      <x:c r="AI5" s="615" t="s">
        <x:v>57</x:v>
      </x:c>
      <x:c r="AJ5" s="615" t="s">
        <x:v>1060</x:v>
      </x:c>
      <x:c r="AK5" s="615" t="s">
        <x:v>527</x:v>
      </x:c>
      <x:c r="AL5" s="615" t="s">
        <x:v>57</x:v>
      </x:c>
      <x:c r="AM5" s="615" t="s">
        <x:v>965</x:v>
      </x:c>
      <x:c r="AN5" s="616" t="s">
        <x:v>2027</x:v>
      </x:c>
    </x:row>
    <x:row r="6" spans="1:40" customHeight="1">
      <x:c r="A6" s="193" t="s">
        <x:v>927</x:v>
      </x:c>
      <x:c r="B6" s="316" t="s">
        <x:v>1956</x:v>
      </x:c>
      <x:c r="C6" s="291" t="s">
        <x:v>478</x:v>
      </x:c>
      <x:c r="D6" s="20"/>
      <x:c r="E6" s="565" t="s">
        <x:v>478</x:v>
      </x:c>
      <x:c r="F6" s="566" t="s">
        <x:v>927</x:v>
      </x:c>
      <x:c r="G6" s="567" t="s">
        <x:v>1956</x:v>
      </x:c>
      <x:c r="H6" s="568" t="s">
        <x:v>164</x:v>
      </x:c>
      <x:c r="I6" s="569" t="s">
        <x:v>1053</x:v>
      </x:c>
      <x:c r="K6" s="255" t="s">
        <x:v>556</x:v>
      </x:c>
      <x:c r="L6" s="256" t="s">
        <x:v>132</x:v>
      </x:c>
      <x:c r="M6" s="257" t="s">
        <x:v>32</x:v>
      </x:c>
      <x:c r="O6" s="240" t="s">
        <x:v>754</x:v>
      </x:c>
      <x:c r="P6" s="207" t="s">
        <x:v>143</x:v>
      </x:c>
      <x:c r="R6" s="614" t="s">
        <x:v>927</x:v>
      </x:c>
      <x:c r="S6" s="615" t="s">
        <x:v>1018</x:v>
      </x:c>
      <x:c r="T6" s="615" t="s">
        <x:v>1537</x:v>
      </x:c>
      <x:c r="U6" s="615" t="s">
        <x:v>500</x:v>
      </x:c>
      <x:c r="V6" s="615" t="s">
        <x:v>502</x:v>
      </x:c>
      <x:c r="W6" s="615" t="s">
        <x:v>506</x:v>
      </x:c>
      <x:c r="X6" s="615" t="s">
        <x:v>2001</x:v>
      </x:c>
      <x:c r="Y6" s="615" t="s">
        <x:v>521</x:v>
      </x:c>
      <x:c r="Z6" s="615" t="s">
        <x:v>908</x:v>
      </x:c>
      <x:c r="AA6" s="615" t="s">
        <x:v>1034</x:v>
      </x:c>
      <x:c r="AB6" s="616" t="s">
        <x:v>1028</x:v>
      </x:c>
      <x:c r="AD6" s="614" t="s">
        <x:v>1941</x:v>
      </x:c>
      <x:c r="AE6" s="615" t="s">
        <x:v>483</x:v>
      </x:c>
      <x:c r="AF6" s="615" t="s">
        <x:v>1544</x:v>
      </x:c>
      <x:c r="AG6" s="615" t="s">
        <x:v>1653</x:v>
      </x:c>
      <x:c r="AH6" s="615"/>
      <x:c r="AI6" s="615" t="s">
        <x:v>1047</x:v>
      </x:c>
      <x:c r="AJ6" s="615"/>
      <x:c r="AK6" s="615" t="s">
        <x:v>1061</x:v>
      </x:c>
      <x:c r="AL6" s="615" t="s">
        <x:v>1060</x:v>
      </x:c>
      <x:c r="AM6" s="615"/>
      <x:c r="AN6" s="616" t="s">
        <x:v>999</x:v>
      </x:c>
    </x:row>
    <x:row r="7" spans="1:40" customHeight="1">
      <x:c r="A7" s="294" t="s">
        <x:v>533</x:v>
      </x:c>
      <x:c r="B7" s="317" t="s">
        <x:v>1938</x:v>
      </x:c>
      <x:c r="C7" s="295" t="s">
        <x:v>533</x:v>
      </x:c>
      <x:c r="D7" s="20"/>
      <x:c r="E7" s="570" t="s">
        <x:v>533</x:v>
      </x:c>
      <x:c r="F7" s="571" t="s">
        <x:v>533</x:v>
      </x:c>
      <x:c r="G7" s="572" t="s">
        <x:v>1938</x:v>
      </x:c>
      <x:c r="H7" s="573" t="s">
        <x:v>160</x:v>
      </x:c>
      <x:c r="I7" s="574" t="s">
        <x:v>1044</x:v>
      </x:c>
      <x:c r="K7" s="249" t="s">
        <x:v>537</x:v>
      </x:c>
      <x:c r="L7" s="250" t="s">
        <x:v>702</x:v>
      </x:c>
      <x:c r="M7" s="251" t="s">
        <x:v>542</x:v>
      </x:c>
      <x:c r="O7" s="240" t="s">
        <x:v>734</x:v>
      </x:c>
      <x:c r="P7" s="207" t="s">
        <x:v>820</x:v>
      </x:c>
      <x:c r="R7" s="614" t="s">
        <x:v>932</x:v>
      </x:c>
      <x:c r="S7" s="615" t="s">
        <x:v>1952</x:v>
      </x:c>
      <x:c r="T7" s="615" t="s">
        <x:v>911</x:v>
      </x:c>
      <x:c r="U7" s="615" t="s">
        <x:v>487</x:v>
      </x:c>
      <x:c r="V7" s="615" t="s">
        <x:v>946</x:v>
      </x:c>
      <x:c r="W7" s="615" t="s">
        <x:v>1536</x:v>
      </x:c>
      <x:c r="X7" s="615" t="s">
        <x:v>1545</x:v>
      </x:c>
      <x:c r="Y7" s="615" t="s">
        <x:v>80</x:v>
      </x:c>
      <x:c r="Z7" s="615" t="s">
        <x:v>909</x:v>
      </x:c>
      <x:c r="AA7" s="615" t="s">
        <x:v>1006</x:v>
      </x:c>
      <x:c r="AB7" s="616" t="s">
        <x:v>475</x:v>
      </x:c>
      <x:c r="AD7" s="614"/>
      <x:c r="AE7" s="615" t="s">
        <x:v>66</x:v>
      </x:c>
      <x:c r="AF7" s="615"/>
      <x:c r="AG7" s="615" t="s">
        <x:v>484</x:v>
      </x:c>
      <x:c r="AH7" s="615"/>
      <x:c r="AI7" s="615"/>
      <x:c r="AJ7" s="615"/>
      <x:c r="AK7" s="615" t="s">
        <x:v>49</x:v>
      </x:c>
      <x:c r="AL7" s="615" t="s">
        <x:v>1054</x:v>
      </x:c>
      <x:c r="AM7" s="615"/>
      <x:c r="AN7" s="616"/>
    </x:row>
    <x:row r="8" spans="1:40" customHeight="1">
      <x:c r="A8" s="192" t="s">
        <x:v>1014</x:v>
      </x:c>
      <x:c r="B8" s="315" t="s">
        <x:v>1937</x:v>
      </x:c>
      <x:c r="C8" s="290" t="s">
        <x:v>67</x:v>
      </x:c>
      <x:c r="D8" s="20"/>
      <x:c r="E8" s="560" t="s">
        <x:v>67</x:v>
      </x:c>
      <x:c r="F8" s="561" t="s">
        <x:v>1014</x:v>
      </x:c>
      <x:c r="G8" s="562" t="s">
        <x:v>1937</x:v>
      </x:c>
      <x:c r="H8" s="563" t="s">
        <x:v>155</x:v>
      </x:c>
      <x:c r="I8" s="564" t="s">
        <x:v>1048</x:v>
      </x:c>
      <x:c r="K8" s="252" t="s">
        <x:v>550</x:v>
      </x:c>
      <x:c r="L8" s="253" t="s">
        <x:v>702</x:v>
      </x:c>
      <x:c r="M8" s="254" t="s">
        <x:v>553</x:v>
      </x:c>
      <x:c r="O8" s="240" t="s">
        <x:v>745</x:v>
      </x:c>
      <x:c r="P8" s="207" t="s">
        <x:v>124</x:v>
      </x:c>
      <x:c r="R8" s="614" t="s">
        <x:v>517</x:v>
      </x:c>
      <x:c r="S8" s="615" t="s">
        <x:v>945</x:v>
      </x:c>
      <x:c r="T8" s="615" t="s">
        <x:v>539</x:v>
      </x:c>
      <x:c r="U8" s="615" t="s">
        <x:v>51</x:v>
      </x:c>
      <x:c r="V8" s="615" t="s">
        <x:v>1992</x:v>
      </x:c>
      <x:c r="W8" s="615" t="s">
        <x:v>1511</x:v>
      </x:c>
      <x:c r="X8" s="615" t="s">
        <x:v>985</x:v>
      </x:c>
      <x:c r="Y8" s="615" t="s">
        <x:v>508</x:v>
      </x:c>
      <x:c r="Z8" s="615" t="s">
        <x:v>1035</x:v>
      </x:c>
      <x:c r="AA8" s="615" t="s">
        <x:v>1000</x:v>
      </x:c>
      <x:c r="AB8" s="616" t="s">
        <x:v>1010</x:v>
      </x:c>
      <x:c r="AD8" s="614"/>
      <x:c r="AE8" s="615"/>
      <x:c r="AF8" s="615"/>
      <x:c r="AG8" s="615" t="s">
        <x:v>1067</x:v>
      </x:c>
      <x:c r="AH8" s="615"/>
      <x:c r="AI8" s="615"/>
      <x:c r="AJ8" s="615"/>
      <x:c r="AK8" s="615"/>
      <x:c r="AL8" s="615"/>
      <x:c r="AM8" s="615"/>
      <x:c r="AN8" s="616"/>
    </x:row>
    <x:row r="9" spans="1:40" customHeight="1">
      <x:c r="A9" s="194" t="s">
        <x:v>1041</x:v>
      </x:c>
      <x:c r="B9" s="318" t="s">
        <x:v>1937</x:v>
      </x:c>
      <x:c r="C9" s="283" t="s">
        <x:v>67</x:v>
      </x:c>
      <x:c r="D9" s="20"/>
      <x:c r="E9" s="575" t="s">
        <x:v>67</x:v>
      </x:c>
      <x:c r="F9" s="576" t="s">
        <x:v>1041</x:v>
      </x:c>
      <x:c r="G9" s="577" t="s">
        <x:v>1937</x:v>
      </x:c>
      <x:c r="H9" s="578" t="s">
        <x:v>161</x:v>
      </x:c>
      <x:c r="I9" s="579" t="s">
        <x:v>1056</x:v>
      </x:c>
      <x:c r="K9" s="252" t="s">
        <x:v>554</x:v>
      </x:c>
      <x:c r="L9" s="253" t="s">
        <x:v>702</x:v>
      </x:c>
      <x:c r="M9" s="254" t="s">
        <x:v>561</x:v>
      </x:c>
      <x:c r="O9" s="240" t="s">
        <x:v>747</x:v>
      </x:c>
      <x:c r="P9" s="207" t="s">
        <x:v>144</x:v>
      </x:c>
      <x:c r="R9" s="614" t="s">
        <x:v>83</x:v>
      </x:c>
      <x:c r="S9" s="615" t="s">
        <x:v>1954</x:v>
      </x:c>
      <x:c r="T9" s="615" t="s">
        <x:v>993</x:v>
      </x:c>
      <x:c r="U9" s="615" t="s">
        <x:v>982</x:v>
      </x:c>
      <x:c r="V9" s="615" t="s">
        <x:v>926</x:v>
      </x:c>
      <x:c r="W9" s="615" t="s">
        <x:v>2013</x:v>
      </x:c>
      <x:c r="X9" s="615" t="s">
        <x:v>1009</x:v>
      </x:c>
      <x:c r="Y9" s="615" t="s">
        <x:v>1996</x:v>
      </x:c>
      <x:c r="Z9" s="615" t="s">
        <x:v>910</x:v>
      </x:c>
      <x:c r="AA9" s="615" t="s">
        <x:v>1003</x:v>
      </x:c>
      <x:c r="AB9" s="616" t="s">
        <x:v>2023</x:v>
      </x:c>
      <x:c r="AD9" s="614"/>
      <x:c r="AE9" s="615"/>
      <x:c r="AF9" s="615"/>
      <x:c r="AG9" s="615" t="s">
        <x:v>1639</x:v>
      </x:c>
      <x:c r="AH9" s="615"/>
      <x:c r="AI9" s="615"/>
      <x:c r="AJ9" s="615"/>
      <x:c r="AK9" s="615"/>
      <x:c r="AL9" s="615"/>
      <x:c r="AM9" s="615"/>
      <x:c r="AN9" s="616"/>
    </x:row>
    <x:row r="10" spans="1:40" customHeight="1">
      <x:c r="A10" s="194" t="s">
        <x:v>1015</x:v>
      </x:c>
      <x:c r="B10" s="318" t="s">
        <x:v>1937</x:v>
      </x:c>
      <x:c r="C10" s="283" t="s">
        <x:v>67</x:v>
      </x:c>
      <x:c r="D10" s="20"/>
      <x:c r="E10" s="575" t="s">
        <x:v>67</x:v>
      </x:c>
      <x:c r="F10" s="576" t="s">
        <x:v>1015</x:v>
      </x:c>
      <x:c r="G10" s="577" t="s">
        <x:v>1937</x:v>
      </x:c>
      <x:c r="H10" s="578" t="s">
        <x:v>162</x:v>
      </x:c>
      <x:c r="I10" s="579" t="s">
        <x:v>1057</x:v>
      </x:c>
      <x:c r="K10" s="252" t="s">
        <x:v>552</x:v>
      </x:c>
      <x:c r="L10" s="253" t="s">
        <x:v>702</x:v>
      </x:c>
      <x:c r="M10" s="254" t="s">
        <x:v>21</x:v>
      </x:c>
      <x:c r="O10" s="240" t="s">
        <x:v>883</x:v>
      </x:c>
      <x:c r="P10" s="207" t="s">
        <x:v>857</x:v>
      </x:c>
      <x:c r="R10" s="614" t="s">
        <x:v>82</x:v>
      </x:c>
      <x:c r="S10" s="615" t="s">
        <x:v>504</x:v>
      </x:c>
      <x:c r="T10" s="615" t="s">
        <x:v>938</x:v>
      </x:c>
      <x:c r="U10" s="615" t="s">
        <x:v>83</x:v>
      </x:c>
      <x:c r="V10" s="615" t="s">
        <x:v>1534</x:v>
      </x:c>
      <x:c r="W10" s="615" t="s">
        <x:v>2015</x:v>
      </x:c>
      <x:c r="X10" s="615" t="s">
        <x:v>988</x:v>
      </x:c>
      <x:c r="Y10" s="615" t="s">
        <x:v>1011</x:v>
      </x:c>
      <x:c r="Z10" s="615" t="s">
        <x:v>885</x:v>
      </x:c>
      <x:c r="AA10" s="615" t="s">
        <x:v>953</x:v>
      </x:c>
      <x:c r="AB10" s="616" t="s">
        <x:v>507</x:v>
      </x:c>
      <x:c r="AD10" s="614"/>
      <x:c r="AE10" s="615"/>
      <x:c r="AF10" s="615"/>
      <x:c r="AG10" s="615" t="s">
        <x:v>1654</x:v>
      </x:c>
      <x:c r="AH10" s="615"/>
      <x:c r="AI10" s="615"/>
      <x:c r="AJ10" s="615"/>
      <x:c r="AK10" s="615"/>
      <x:c r="AL10" s="615"/>
      <x:c r="AM10" s="615"/>
      <x:c r="AN10" s="616"/>
    </x:row>
    <x:row r="11" spans="1:40" customHeight="1">
      <x:c r="A11" s="193" t="s">
        <x:v>1018</x:v>
      </x:c>
      <x:c r="B11" s="316" t="s">
        <x:v>1937</x:v>
      </x:c>
      <x:c r="C11" s="291" t="s">
        <x:v>67</x:v>
      </x:c>
      <x:c r="D11" s="20"/>
      <x:c r="E11" s="565" t="s">
        <x:v>67</x:v>
      </x:c>
      <x:c r="F11" s="566" t="s">
        <x:v>1018</x:v>
      </x:c>
      <x:c r="G11" s="567" t="s">
        <x:v>1937</x:v>
      </x:c>
      <x:c r="H11" s="568" t="s">
        <x:v>151</x:v>
      </x:c>
      <x:c r="I11" s="569" t="s">
        <x:v>1068</x:v>
      </x:c>
      <x:c r="K11" s="255" t="s">
        <x:v>541</x:v>
      </x:c>
      <x:c r="L11" s="256" t="s">
        <x:v>702</x:v>
      </x:c>
      <x:c r="M11" s="257" t="s">
        <x:v>963</x:v>
      </x:c>
      <x:c r="O11" s="240" t="s">
        <x:v>737</x:v>
      </x:c>
      <x:c r="P11" s="207" t="s">
        <x:v>145</x:v>
      </x:c>
      <x:c r="R11" s="614" t="s">
        <x:v>1036</x:v>
      </x:c>
      <x:c r="S11" s="615" t="s">
        <x:v>511</x:v>
      </x:c>
      <x:c r="T11" s="615" t="s">
        <x:v>886</x:v>
      </x:c>
      <x:c r="U11" s="615" t="s">
        <x:v>1943</x:v>
      </x:c>
      <x:c r="V11" s="615" t="s">
        <x:v>1027</x:v>
      </x:c>
      <x:c r="W11" s="615" t="s">
        <x:v>2016</x:v>
      </x:c>
      <x:c r="X11" s="615" t="s">
        <x:v>2009</x:v>
      </x:c>
      <x:c r="Y11" s="615" t="s">
        <x:v>509</x:v>
      </x:c>
      <x:c r="Z11" s="615" t="s">
        <x:v>53</x:v>
      </x:c>
      <x:c r="AA11" s="615" t="s">
        <x:v>964</x:v>
      </x:c>
      <x:c r="AB11" s="616" t="s">
        <x:v>928</x:v>
      </x:c>
      <x:c r="AD11" s="614"/>
      <x:c r="AE11" s="615"/>
      <x:c r="AF11" s="615"/>
      <x:c r="AG11" s="615"/>
      <x:c r="AH11" s="615"/>
      <x:c r="AI11" s="615"/>
      <x:c r="AJ11" s="615"/>
      <x:c r="AK11" s="615"/>
      <x:c r="AL11" s="615"/>
      <x:c r="AM11" s="615"/>
      <x:c r="AN11" s="616"/>
    </x:row>
    <x:row r="12" spans="1:40" customHeight="1">
      <x:c r="A12" s="192" t="s">
        <x:v>1952</x:v>
      </x:c>
      <x:c r="B12" s="315" t="s">
        <x:v>1937</x:v>
      </x:c>
      <x:c r="C12" s="290" t="s">
        <x:v>1939</x:v>
      </x:c>
      <x:c r="D12" s="20"/>
      <x:c r="E12" s="575" t="s">
        <x:v>1939</x:v>
      </x:c>
      <x:c r="F12" s="576" t="s">
        <x:v>1952</x:v>
      </x:c>
      <x:c r="G12" s="577" t="s">
        <x:v>1937</x:v>
      </x:c>
      <x:c r="H12" s="578" t="s">
        <x:v>163</x:v>
      </x:c>
      <x:c r="I12" s="579" t="s">
        <x:v>1070</x:v>
      </x:c>
      <x:c r="K12" s="249" t="s">
        <x:v>924</x:v>
      </x:c>
      <x:c r="L12" s="250" t="s">
        <x:v>120</x:v>
      </x:c>
      <x:c r="M12" s="251" t="s">
        <x:v>560</x:v>
      </x:c>
      <x:c r="O12" s="240" t="s">
        <x:v>744</x:v>
      </x:c>
      <x:c r="P12" s="207" t="s">
        <x:v>821</x:v>
      </x:c>
      <x:c r="R12" s="614" t="s">
        <x:v>1037</x:v>
      </x:c>
      <x:c r="S12" s="615" t="s">
        <x:v>1942</x:v>
      </x:c>
      <x:c r="T12" s="615" t="s">
        <x:v>918</x:v>
      </x:c>
      <x:c r="U12" s="615" t="s">
        <x:v>82</x:v>
      </x:c>
      <x:c r="V12" s="615"/>
      <x:c r="W12" s="615" t="s">
        <x:v>936</x:v>
      </x:c>
      <x:c r="X12" s="615" t="s">
        <x:v>991</x:v>
      </x:c>
      <x:c r="Y12" s="615" t="s">
        <x:v>477</x:v>
      </x:c>
      <x:c r="Z12" s="615" t="s">
        <x:v>899</x:v>
      </x:c>
      <x:c r="AA12" s="615" t="s">
        <x:v>971</x:v>
      </x:c>
      <x:c r="AB12" s="616" t="s">
        <x:v>2025</x:v>
      </x:c>
      <x:c r="AD12" s="614"/>
      <x:c r="AE12" s="615"/>
      <x:c r="AF12" s="615"/>
      <x:c r="AG12" s="615"/>
      <x:c r="AH12" s="615"/>
      <x:c r="AI12" s="615"/>
      <x:c r="AJ12" s="615"/>
      <x:c r="AK12" s="615"/>
      <x:c r="AL12" s="615"/>
      <x:c r="AM12" s="615"/>
      <x:c r="AN12" s="616"/>
    </x:row>
    <x:row r="13" spans="1:40" customHeight="1">
      <x:c r="A13" s="194" t="s">
        <x:v>945</x:v>
      </x:c>
      <x:c r="B13" s="318" t="s">
        <x:v>1937</x:v>
      </x:c>
      <x:c r="C13" s="283" t="s">
        <x:v>1939</x:v>
      </x:c>
      <x:c r="D13" s="20"/>
      <x:c r="E13" s="585" t="s">
        <x:v>1939</x:v>
      </x:c>
      <x:c r="F13" s="586" t="s">
        <x:v>945</x:v>
      </x:c>
      <x:c r="G13" s="587" t="s">
        <x:v>1937</x:v>
      </x:c>
      <x:c r="H13" s="605" t="s">
        <x:v>156</x:v>
      </x:c>
      <x:c r="I13" s="606" t="s">
        <x:v>1045</x:v>
      </x:c>
      <x:c r="K13" s="252" t="s">
        <x:v>557</x:v>
      </x:c>
      <x:c r="L13" s="253" t="s">
        <x:v>120</x:v>
      </x:c>
      <x:c r="M13" s="254" t="s">
        <x:v>544</x:v>
      </x:c>
      <x:c r="O13" s="240" t="s">
        <x:v>753</x:v>
      </x:c>
      <x:c r="P13" s="207" t="s">
        <x:v>877</x:v>
      </x:c>
      <x:c r="R13" s="614" t="s">
        <x:v>1049</x:v>
      </x:c>
      <x:c r="S13" s="615" t="s">
        <x:v>1947</x:v>
      </x:c>
      <x:c r="T13" s="615" t="s">
        <x:v>998</x:v>
      </x:c>
      <x:c r="U13" s="615" t="s">
        <x:v>489</x:v>
      </x:c>
      <x:c r="V13" s="615"/>
      <x:c r="W13" s="615" t="s">
        <x:v>929</x:v>
      </x:c>
      <x:c r="X13" s="615" t="s">
        <x:v>548</x:v>
      </x:c>
      <x:c r="Y13" s="615" t="s">
        <x:v>526</x:v>
      </x:c>
      <x:c r="Z13" s="615" t="s">
        <x:v>904</x:v>
      </x:c>
      <x:c r="AA13" s="615" t="s">
        <x:v>55</x:v>
      </x:c>
      <x:c r="AB13" s="616" t="s">
        <x:v>1001</x:v>
      </x:c>
      <x:c r="AD13" s="614"/>
      <x:c r="AE13" s="615"/>
      <x:c r="AF13" s="615"/>
      <x:c r="AG13" s="615"/>
      <x:c r="AH13" s="615"/>
      <x:c r="AI13" s="615"/>
      <x:c r="AJ13" s="615"/>
      <x:c r="AK13" s="615"/>
      <x:c r="AL13" s="615"/>
      <x:c r="AM13" s="615"/>
      <x:c r="AN13" s="616"/>
    </x:row>
    <x:row r="14" spans="1:40" customHeight="1">
      <x:c r="A14" s="194" t="s">
        <x:v>1954</x:v>
      </x:c>
      <x:c r="B14" s="318" t="s">
        <x:v>1937</x:v>
      </x:c>
      <x:c r="C14" s="283" t="s">
        <x:v>1939</x:v>
      </x:c>
      <x:c r="D14" s="20"/>
      <x:c r="E14" s="575" t="s">
        <x:v>1939</x:v>
      </x:c>
      <x:c r="F14" s="576" t="s">
        <x:v>1954</x:v>
      </x:c>
      <x:c r="G14" s="577" t="s">
        <x:v>1937</x:v>
      </x:c>
      <x:c r="H14" s="578" t="s">
        <x:v>175</x:v>
      </x:c>
      <x:c r="I14" s="579" t="s">
        <x:v>1062</x:v>
      </x:c>
      <x:c r="K14" s="252" t="s">
        <x:v>536</x:v>
      </x:c>
      <x:c r="L14" s="253" t="s">
        <x:v>120</x:v>
      </x:c>
      <x:c r="M14" s="254" t="s">
        <x:v>538</x:v>
      </x:c>
      <x:c r="O14" s="240" t="s">
        <x:v>738</x:v>
      </x:c>
      <x:c r="P14" s="207" t="s">
        <x:v>855</x:v>
      </x:c>
      <x:c r="R14" s="614" t="s">
        <x:v>170</x:v>
      </x:c>
      <x:c r="S14" s="615" t="s">
        <x:v>1934</x:v>
      </x:c>
      <x:c r="T14" s="615" t="s">
        <x:v>59</x:v>
      </x:c>
      <x:c r="U14" s="615" t="s">
        <x:v>84</x:v>
      </x:c>
      <x:c r="V14" s="615"/>
      <x:c r="W14" s="615" t="s">
        <x:v>485</x:v>
      </x:c>
      <x:c r="X14" s="615" t="s">
        <x:v>2002</x:v>
      </x:c>
      <x:c r="Y14" s="615" t="s">
        <x:v>1995</x:v>
      </x:c>
      <x:c r="Z14" s="615" t="s">
        <x:v>1019</x:v>
      </x:c>
      <x:c r="AA14" s="615" t="s">
        <x:v>951</x:v>
      </x:c>
      <x:c r="AB14" s="616" t="s">
        <x:v>1012</x:v>
      </x:c>
      <x:c r="AD14" s="614"/>
      <x:c r="AE14" s="615"/>
      <x:c r="AF14" s="615"/>
      <x:c r="AG14" s="615"/>
      <x:c r="AH14" s="615"/>
      <x:c r="AI14" s="615"/>
      <x:c r="AJ14" s="615"/>
      <x:c r="AK14" s="615"/>
      <x:c r="AL14" s="615"/>
      <x:c r="AM14" s="615"/>
      <x:c r="AN14" s="616"/>
    </x:row>
    <x:row r="15" spans="1:40" customHeight="1">
      <x:c r="A15" s="194" t="s">
        <x:v>504</x:v>
      </x:c>
      <x:c r="B15" s="318" t="s">
        <x:v>1937</x:v>
      </x:c>
      <x:c r="C15" s="283" t="s">
        <x:v>1939</x:v>
      </x:c>
      <x:c r="D15" s="20"/>
      <x:c r="E15" s="575" t="s">
        <x:v>1939</x:v>
      </x:c>
      <x:c r="F15" s="576" t="s">
        <x:v>504</x:v>
      </x:c>
      <x:c r="G15" s="577" t="s">
        <x:v>1937</x:v>
      </x:c>
      <x:c r="H15" s="578" t="s">
        <x:v>165</x:v>
      </x:c>
      <x:c r="I15" s="579" t="s">
        <x:v>1058</x:v>
      </x:c>
      <x:c r="K15" s="252" t="s">
        <x:v>563</x:v>
      </x:c>
      <x:c r="L15" s="253" t="s">
        <x:v>120</x:v>
      </x:c>
      <x:c r="M15" s="254" t="s">
        <x:v>543</x:v>
      </x:c>
      <x:c r="O15" s="240"/>
      <x:c r="P15" s="206" t="s">
        <x:v>730</x:v>
      </x:c>
      <x:c r="R15" s="614" t="s">
        <x:v>1069</x:v>
      </x:c>
      <x:c r="S15" s="615" t="s">
        <x:v>1957</x:v>
      </x:c>
      <x:c r="T15" s="615" t="s">
        <x:v>54</x:v>
      </x:c>
      <x:c r="U15" s="615" t="s">
        <x:v>524</x:v>
      </x:c>
      <x:c r="V15" s="615"/>
      <x:c r="W15" s="615" t="s">
        <x:v>1532</x:v>
      </x:c>
      <x:c r="X15" s="615" t="s">
        <x:v>1031</x:v>
      </x:c>
      <x:c r="Y15" s="615" t="s">
        <x:v>530</x:v>
      </x:c>
      <x:c r="Z15" s="615" t="s">
        <x:v>919</x:v>
      </x:c>
      <x:c r="AA15" s="615"/>
      <x:c r="AB15" s="616"/>
      <x:c r="AD15" s="614"/>
      <x:c r="AE15" s="615"/>
      <x:c r="AF15" s="615"/>
      <x:c r="AG15" s="615"/>
      <x:c r="AH15" s="615"/>
      <x:c r="AI15" s="615"/>
      <x:c r="AJ15" s="615"/>
      <x:c r="AK15" s="615"/>
      <x:c r="AL15" s="615"/>
      <x:c r="AM15" s="615"/>
      <x:c r="AN15" s="616"/>
    </x:row>
    <x:row r="16" spans="1:40" customHeight="1">
      <x:c r="A16" s="194" t="s">
        <x:v>511</x:v>
      </x:c>
      <x:c r="B16" s="318" t="s">
        <x:v>1937</x:v>
      </x:c>
      <x:c r="C16" s="283" t="s">
        <x:v>1939</x:v>
      </x:c>
      <x:c r="D16" s="20"/>
      <x:c r="E16" s="575" t="s">
        <x:v>1939</x:v>
      </x:c>
      <x:c r="F16" s="576" t="s">
        <x:v>511</x:v>
      </x:c>
      <x:c r="G16" s="577" t="s">
        <x:v>1937</x:v>
      </x:c>
      <x:c r="H16" s="578" t="s">
        <x:v>176</x:v>
      </x:c>
      <x:c r="I16" s="579" t="s">
        <x:v>1063</x:v>
      </x:c>
      <x:c r="K16" s="255" t="s">
        <x:v>545</x:v>
      </x:c>
      <x:c r="L16" s="256" t="s">
        <x:v>120</x:v>
      </x:c>
      <x:c r="M16" s="257" t="s">
        <x:v>1551</x:v>
      </x:c>
      <x:c r="O16" s="240" t="s">
        <x:v>858</x:v>
      </x:c>
      <x:c r="P16" s="207" t="s">
        <x:v>807</x:v>
      </x:c>
      <x:c r="R16" s="614" t="s">
        <x:v>1066</x:v>
      </x:c>
      <x:c r="S16" s="615" t="s">
        <x:v>2012</x:v>
      </x:c>
      <x:c r="T16" s="615" t="s">
        <x:v>532</x:v>
      </x:c>
      <x:c r="U16" s="615" t="s">
        <x:v>77</x:v>
      </x:c>
      <x:c r="V16" s="615"/>
      <x:c r="W16" s="615" t="s">
        <x:v>490</x:v>
      </x:c>
      <x:c r="X16" s="615" t="s">
        <x:v>1533</x:v>
      </x:c>
      <x:c r="Y16" s="615" t="s">
        <x:v>516</x:v>
      </x:c>
      <x:c r="Z16" s="615" t="s">
        <x:v>997</x:v>
      </x:c>
      <x:c r="AA16" s="615"/>
      <x:c r="AB16" s="616"/>
      <x:c r="AD16" s="614"/>
      <x:c r="AE16" s="615"/>
      <x:c r="AF16" s="615"/>
      <x:c r="AG16" s="615"/>
      <x:c r="AH16" s="615"/>
      <x:c r="AI16" s="615"/>
      <x:c r="AJ16" s="615"/>
      <x:c r="AK16" s="615"/>
      <x:c r="AL16" s="615"/>
      <x:c r="AM16" s="615"/>
      <x:c r="AN16" s="616"/>
    </x:row>
    <x:row r="17" spans="1:40" customHeight="1">
      <x:c r="A17" s="194" t="s">
        <x:v>1942</x:v>
      </x:c>
      <x:c r="B17" s="318" t="s">
        <x:v>1937</x:v>
      </x:c>
      <x:c r="C17" s="283" t="s">
        <x:v>1939</x:v>
      </x:c>
      <x:c r="D17" s="20"/>
      <x:c r="E17" s="575" t="s">
        <x:v>1939</x:v>
      </x:c>
      <x:c r="F17" s="576" t="s">
        <x:v>1942</x:v>
      </x:c>
      <x:c r="G17" s="577" t="s">
        <x:v>1937</x:v>
      </x:c>
      <x:c r="H17" s="578" t="s">
        <x:v>180</x:v>
      </x:c>
      <x:c r="I17" s="579" t="s">
        <x:v>1071</x:v>
      </x:c>
      <x:c r="K17" s="249" t="s">
        <x:v>535</x:v>
      </x:c>
      <x:c r="L17" s="250" t="s">
        <x:v>722</x:v>
      </x:c>
      <x:c r="M17" s="251" t="s">
        <x:v>1552</x:v>
      </x:c>
      <x:c r="O17" s="240" t="s">
        <x:v>741</x:v>
      </x:c>
      <x:c r="P17" s="207" t="s">
        <x:v>859</x:v>
      </x:c>
      <x:c r="R17" s="614" t="s">
        <x:v>531</x:v>
      </x:c>
      <x:c r="S17" s="615" t="s">
        <x:v>503</x:v>
      </x:c>
      <x:c r="T17" s="615" t="s">
        <x:v>1935</x:v>
      </x:c>
      <x:c r="U17" s="615" t="s">
        <x:v>512</x:v>
      </x:c>
      <x:c r="V17" s="615"/>
      <x:c r="W17" s="615" t="s">
        <x:v>973</x:v>
      </x:c>
      <x:c r="X17" s="615" t="s">
        <x:v>472</x:v>
      </x:c>
      <x:c r="Y17" s="615" t="s">
        <x:v>75</x:v>
      </x:c>
      <x:c r="Z17" s="615" t="s">
        <x:v>979</x:v>
      </x:c>
      <x:c r="AA17" s="615"/>
      <x:c r="AB17" s="616"/>
      <x:c r="AD17" s="614"/>
      <x:c r="AE17" s="615"/>
      <x:c r="AF17" s="615"/>
      <x:c r="AG17" s="615"/>
      <x:c r="AH17" s="615"/>
      <x:c r="AI17" s="615"/>
      <x:c r="AJ17" s="615"/>
      <x:c r="AK17" s="615"/>
      <x:c r="AL17" s="615"/>
      <x:c r="AM17" s="615"/>
      <x:c r="AN17" s="616"/>
    </x:row>
    <x:row r="18" spans="1:40" customHeight="1">
      <x:c r="A18" s="193" t="s">
        <x:v>1947</x:v>
      </x:c>
      <x:c r="B18" s="316" t="s">
        <x:v>1937</x:v>
      </x:c>
      <x:c r="C18" s="291" t="s">
        <x:v>1939</x:v>
      </x:c>
      <x:c r="D18" s="20"/>
      <x:c r="E18" s="575" t="s">
        <x:v>1939</x:v>
      </x:c>
      <x:c r="F18" s="576" t="s">
        <x:v>1947</x:v>
      </x:c>
      <x:c r="G18" s="577" t="s">
        <x:v>1937</x:v>
      </x:c>
      <x:c r="H18" s="578" t="s">
        <x:v>157</x:v>
      </x:c>
      <x:c r="I18" s="579" t="s">
        <x:v>1064</x:v>
      </x:c>
      <x:c r="K18" s="252" t="s">
        <x:v>547</x:v>
      </x:c>
      <x:c r="L18" s="253" t="s">
        <x:v>722</x:v>
      </x:c>
      <x:c r="M18" s="254" t="s">
        <x:v>1558</x:v>
      </x:c>
      <x:c r="O18" s="240"/>
      <x:c r="P18" s="204" t="s">
        <x:v>1580</x:v>
      </x:c>
      <x:c r="R18" s="614"/>
      <x:c r="S18" s="615" t="s">
        <x:v>948</x:v>
      </x:c>
      <x:c r="T18" s="615" t="s">
        <x:v>76</x:v>
      </x:c>
      <x:c r="U18" s="615" t="s">
        <x:v>989</x:v>
      </x:c>
      <x:c r="V18" s="615"/>
      <x:c r="W18" s="615" t="s">
        <x:v>2017</x:v>
      </x:c>
      <x:c r="X18" s="615" t="s">
        <x:v>505</x:v>
      </x:c>
      <x:c r="Y18" s="615" t="s">
        <x:v>1997</x:v>
      </x:c>
      <x:c r="Z18" s="615" t="s">
        <x:v>995</x:v>
      </x:c>
      <x:c r="AA18" s="615"/>
      <x:c r="AB18" s="616"/>
      <x:c r="AD18" s="614"/>
      <x:c r="AE18" s="615"/>
      <x:c r="AF18" s="615"/>
      <x:c r="AG18" s="615"/>
      <x:c r="AH18" s="615"/>
      <x:c r="AI18" s="615"/>
      <x:c r="AJ18" s="615"/>
      <x:c r="AK18" s="615"/>
      <x:c r="AL18" s="615"/>
      <x:c r="AM18" s="615"/>
      <x:c r="AN18" s="616"/>
    </x:row>
    <x:row r="19" spans="1:40" customHeight="1">
      <x:c r="A19" s="192" t="s">
        <x:v>1944</x:v>
      </x:c>
      <x:c r="B19" s="315" t="s">
        <x:v>1938</x:v>
      </x:c>
      <x:c r="C19" s="290" t="s">
        <x:v>479</x:v>
      </x:c>
      <x:c r="D19" s="20"/>
      <x:c r="E19" s="565" t="s">
        <x:v>479</x:v>
      </x:c>
      <x:c r="F19" s="566" t="s">
        <x:v>1944</x:v>
      </x:c>
      <x:c r="G19" s="567" t="s">
        <x:v>1938</x:v>
      </x:c>
      <x:c r="H19" s="578" t="s">
        <x:v>154</x:v>
      </x:c>
      <x:c r="I19" s="569" t="s">
        <x:v>1050</x:v>
      </x:c>
      <x:c r="K19" s="258" t="s">
        <x:v>562</x:v>
      </x:c>
      <x:c r="L19" s="259" t="s">
        <x:v>722</x:v>
      </x:c>
      <x:c r="M19" s="260" t="s">
        <x:v>1560</x:v>
      </x:c>
      <x:c r="O19" s="240"/>
      <x:c r="P19" s="205" t="s">
        <x:v>1586</x:v>
      </x:c>
      <x:c r="R19" s="614"/>
      <x:c r="S19" s="615" t="s">
        <x:v>1999</x:v>
      </x:c>
      <x:c r="T19" s="615" t="s">
        <x:v>1955</x:v>
      </x:c>
      <x:c r="U19" s="615" t="s">
        <x:v>990</x:v>
      </x:c>
      <x:c r="V19" s="615"/>
      <x:c r="W19" s="615" t="s">
        <x:v>496</x:v>
      </x:c>
      <x:c r="X19" s="615" t="s">
        <x:v>1991</x:v>
      </x:c>
      <x:c r="Y19" s="615" t="s">
        <x:v>2003</x:v>
      </x:c>
      <x:c r="Z19" s="615" t="s">
        <x:v>996</x:v>
      </x:c>
      <x:c r="AA19" s="615"/>
      <x:c r="AB19" s="616"/>
      <x:c r="AD19" s="614"/>
      <x:c r="AE19" s="615"/>
      <x:c r="AF19" s="615"/>
      <x:c r="AG19" s="615"/>
      <x:c r="AH19" s="615"/>
      <x:c r="AI19" s="615"/>
      <x:c r="AJ19" s="615"/>
      <x:c r="AK19" s="615"/>
      <x:c r="AL19" s="615"/>
      <x:c r="AM19" s="615"/>
      <x:c r="AN19" s="616"/>
    </x:row>
    <x:row r="20" spans="1:40" customHeight="1">
      <x:c r="A20" s="194" t="s">
        <x:v>486</x:v>
      </x:c>
      <x:c r="B20" s="318" t="s">
        <x:v>1938</x:v>
      </x:c>
      <x:c r="C20" s="283" t="s">
        <x:v>479</x:v>
      </x:c>
      <x:c r="D20" s="20"/>
      <x:c r="E20" s="560" t="s">
        <x:v>479</x:v>
      </x:c>
      <x:c r="F20" s="561" t="s">
        <x:v>486</x:v>
      </x:c>
      <x:c r="G20" s="562" t="s">
        <x:v>1938</x:v>
      </x:c>
      <x:c r="H20" s="563" t="s">
        <x:v>166</x:v>
      </x:c>
      <x:c r="I20" s="564" t="s">
        <x:v>1051</x:v>
      </x:c>
      <x:c r="K20" s="261" t="s">
        <x:v>549</x:v>
      </x:c>
      <x:c r="L20" s="262" t="s">
        <x:v>722</x:v>
      </x:c>
      <x:c r="M20" s="263" t="s">
        <x:v>1557</x:v>
      </x:c>
      <x:c r="O20" s="240"/>
      <x:c r="P20" s="206" t="s">
        <x:v>1582</x:v>
      </x:c>
      <x:c r="R20" s="614"/>
      <x:c r="S20" s="615" t="s">
        <x:v>510</x:v>
      </x:c>
      <x:c r="T20" s="615"/>
      <x:c r="U20" s="615" t="s">
        <x:v>1948</x:v>
      </x:c>
      <x:c r="V20" s="615"/>
      <x:c r="W20" s="615" t="s">
        <x:v>2018</x:v>
      </x:c>
      <x:c r="X20" s="615"/>
      <x:c r="Y20" s="615" t="s">
        <x:v>2004</x:v>
      </x:c>
      <x:c r="Z20" s="615" t="s">
        <x:v>984</x:v>
      </x:c>
      <x:c r="AA20" s="615"/>
      <x:c r="AB20" s="616"/>
      <x:c r="AD20" s="614"/>
      <x:c r="AE20" s="615"/>
      <x:c r="AF20" s="615"/>
      <x:c r="AG20" s="615"/>
      <x:c r="AH20" s="615"/>
      <x:c r="AI20" s="615"/>
      <x:c r="AJ20" s="615"/>
      <x:c r="AK20" s="615"/>
      <x:c r="AL20" s="615"/>
      <x:c r="AM20" s="615"/>
      <x:c r="AN20" s="616"/>
    </x:row>
    <x:row r="21" spans="1:40" customHeight="1">
      <x:c r="A21" s="194" t="s">
        <x:v>500</x:v>
      </x:c>
      <x:c r="B21" s="318" t="s">
        <x:v>1938</x:v>
      </x:c>
      <x:c r="C21" s="283" t="s">
        <x:v>479</x:v>
      </x:c>
      <x:c r="D21" s="20"/>
      <x:c r="E21" s="575" t="s">
        <x:v>479</x:v>
      </x:c>
      <x:c r="F21" s="576" t="s">
        <x:v>500</x:v>
      </x:c>
      <x:c r="G21" s="577" t="s">
        <x:v>1938</x:v>
      </x:c>
      <x:c r="H21" s="578" t="s">
        <x:v>159</x:v>
      </x:c>
      <x:c r="I21" s="579" t="s">
        <x:v>1072</x:v>
      </x:c>
      <x:c r="K21" s="249" t="s">
        <x:v>559</x:v>
      </x:c>
      <x:c r="L21" s="250" t="s">
        <x:v>710</x:v>
      </x:c>
      <x:c r="M21" s="251" t="s">
        <x:v>1559</x:v>
      </x:c>
      <x:c r="O21" s="240" t="s">
        <x:v>735</x:v>
      </x:c>
      <x:c r="P21" s="207" t="s">
        <x:v>791</x:v>
      </x:c>
      <x:c r="R21" s="614"/>
      <x:c r="S21" s="615" t="s">
        <x:v>528</x:v>
      </x:c>
      <x:c r="T21" s="615"/>
      <x:c r="U21" s="615" t="s">
        <x:v>1007</x:v>
      </x:c>
      <x:c r="V21" s="615"/>
      <x:c r="W21" s="615" t="s">
        <x:v>2006</x:v>
      </x:c>
      <x:c r="X21" s="615"/>
      <x:c r="Y21" s="615" t="s">
        <x:v>49</x:v>
      </x:c>
      <x:c r="Z21" s="615" t="s">
        <x:v>2024</x:v>
      </x:c>
      <x:c r="AA21" s="615"/>
      <x:c r="AB21" s="616"/>
      <x:c r="AD21" s="614"/>
      <x:c r="AE21" s="615"/>
      <x:c r="AF21" s="615"/>
      <x:c r="AG21" s="615"/>
      <x:c r="AH21" s="615"/>
      <x:c r="AI21" s="615"/>
      <x:c r="AJ21" s="615"/>
      <x:c r="AK21" s="615"/>
      <x:c r="AL21" s="615"/>
      <x:c r="AM21" s="615"/>
      <x:c r="AN21" s="616"/>
    </x:row>
    <x:row r="22" spans="1:40" customHeight="1">
      <x:c r="A22" s="194" t="s">
        <x:v>487</x:v>
      </x:c>
      <x:c r="B22" s="318" t="s">
        <x:v>1938</x:v>
      </x:c>
      <x:c r="C22" s="283" t="s">
        <x:v>479</x:v>
      </x:c>
      <x:c r="D22" s="20"/>
      <x:c r="E22" s="575" t="s">
        <x:v>479</x:v>
      </x:c>
      <x:c r="F22" s="576" t="s">
        <x:v>487</x:v>
      </x:c>
      <x:c r="G22" s="577" t="s">
        <x:v>1938</x:v>
      </x:c>
      <x:c r="H22" s="578" t="s">
        <x:v>177</x:v>
      </x:c>
      <x:c r="I22" s="579" t="s">
        <x:v>1073</x:v>
      </x:c>
      <x:c r="K22" s="255" t="s">
        <x:v>565</x:v>
      </x:c>
      <x:c r="L22" s="256" t="s">
        <x:v>710</x:v>
      </x:c>
      <x:c r="M22" s="257" t="s">
        <x:v>534</x:v>
      </x:c>
      <x:c r="O22" s="240" t="s">
        <x:v>740</x:v>
      </x:c>
      <x:c r="P22" s="207" t="s">
        <x:v>801</x:v>
      </x:c>
      <x:c r="R22" s="614"/>
      <x:c r="S22" s="615" t="s">
        <x:v>529</x:v>
      </x:c>
      <x:c r="T22" s="615"/>
      <x:c r="U22" s="615" t="s">
        <x:v>518</x:v>
      </x:c>
      <x:c r="V22" s="615"/>
      <x:c r="W22" s="615" t="s">
        <x:v>1993</x:v>
      </x:c>
      <x:c r="X22" s="615"/>
      <x:c r="Y22" s="615"/>
      <x:c r="Z22" s="615" t="s">
        <x:v>950</x:v>
      </x:c>
      <x:c r="AA22" s="615"/>
      <x:c r="AB22" s="616"/>
      <x:c r="AD22" s="614"/>
      <x:c r="AE22" s="615"/>
      <x:c r="AF22" s="615"/>
      <x:c r="AG22" s="615"/>
      <x:c r="AH22" s="615"/>
      <x:c r="AI22" s="615"/>
      <x:c r="AJ22" s="615"/>
      <x:c r="AK22" s="615"/>
      <x:c r="AL22" s="615"/>
      <x:c r="AM22" s="615"/>
      <x:c r="AN22" s="616"/>
    </x:row>
    <x:row r="23" spans="1:40" customHeight="1">
      <x:c r="A23" s="194" t="s">
        <x:v>51</x:v>
      </x:c>
      <x:c r="B23" s="318" t="s">
        <x:v>1938</x:v>
      </x:c>
      <x:c r="C23" s="283" t="s">
        <x:v>479</x:v>
      </x:c>
      <x:c r="D23" s="20"/>
      <x:c r="E23" s="575" t="s">
        <x:v>479</x:v>
      </x:c>
      <x:c r="F23" s="576" t="s">
        <x:v>51</x:v>
      </x:c>
      <x:c r="G23" s="577" t="s">
        <x:v>1938</x:v>
      </x:c>
      <x:c r="H23" s="578" t="s">
        <x:v>158</x:v>
      </x:c>
      <x:c r="I23" s="579" t="s">
        <x:v>1042</x:v>
      </x:c>
      <x:c r="K23" s="249" t="s">
        <x:v>577</x:v>
      </x:c>
      <x:c r="L23" s="250" t="s">
        <x:v>139</x:v>
      </x:c>
      <x:c r="M23" s="251" t="s">
        <x:v>569</x:v>
      </x:c>
      <x:c r="O23" s="240"/>
      <x:c r="P23" s="206" t="s">
        <x:v>1585</x:v>
      </x:c>
      <x:c r="R23" s="614"/>
      <x:c r="S23" s="615" t="s">
        <x:v>66</x:v>
      </x:c>
      <x:c r="T23" s="615"/>
      <x:c r="U23" s="615" t="s">
        <x:v>520</x:v>
      </x:c>
      <x:c r="V23" s="615"/>
      <x:c r="W23" s="615" t="s">
        <x:v>25</x:v>
      </x:c>
      <x:c r="X23" s="615"/>
      <x:c r="Y23" s="615"/>
      <x:c r="Z23" s="615" t="s">
        <x:v>1023</x:v>
      </x:c>
      <x:c r="AA23" s="615"/>
      <x:c r="AB23" s="616"/>
      <x:c r="AD23" s="614"/>
      <x:c r="AE23" s="615"/>
      <x:c r="AF23" s="615"/>
      <x:c r="AG23" s="615"/>
      <x:c r="AH23" s="615"/>
      <x:c r="AI23" s="615"/>
      <x:c r="AJ23" s="615"/>
      <x:c r="AK23" s="615"/>
      <x:c r="AL23" s="615"/>
      <x:c r="AM23" s="615"/>
      <x:c r="AN23" s="616"/>
    </x:row>
    <x:row r="24" spans="1:40" customHeight="1">
      <x:c r="A24" s="193" t="s">
        <x:v>982</x:v>
      </x:c>
      <x:c r="B24" s="316" t="s">
        <x:v>1938</x:v>
      </x:c>
      <x:c r="C24" s="291" t="s">
        <x:v>479</x:v>
      </x:c>
      <x:c r="D24" s="20"/>
      <x:c r="E24" s="565" t="s">
        <x:v>479</x:v>
      </x:c>
      <x:c r="F24" s="566" t="s">
        <x:v>982</x:v>
      </x:c>
      <x:c r="G24" s="567" t="s">
        <x:v>1938</x:v>
      </x:c>
      <x:c r="H24" s="568" t="s">
        <x:v>178</x:v>
      </x:c>
      <x:c r="I24" s="569" t="s">
        <x:v>1046</x:v>
      </x:c>
      <x:c r="K24" s="252" t="s">
        <x:v>594</x:v>
      </x:c>
      <x:c r="L24" s="253" t="s">
        <x:v>139</x:v>
      </x:c>
      <x:c r="M24" s="254" t="s">
        <x:v>580</x:v>
      </x:c>
      <x:c r="O24" s="240" t="s">
        <x:v>742</x:v>
      </x:c>
      <x:c r="P24" s="207" t="s">
        <x:v>792</x:v>
      </x:c>
      <x:c r="R24" s="614"/>
      <x:c r="S24" s="615"/>
      <x:c r="T24" s="615"/>
      <x:c r="U24" s="615" t="s">
        <x:v>888</x:v>
      </x:c>
      <x:c r="V24" s="615"/>
      <x:c r="W24" s="615" t="s">
        <x:v>2007</x:v>
      </x:c>
      <x:c r="X24" s="615"/>
      <x:c r="Y24" s="615"/>
      <x:c r="Z24" s="615" t="s">
        <x:v>474</x:v>
      </x:c>
      <x:c r="AA24" s="615"/>
      <x:c r="AB24" s="616"/>
      <x:c r="AD24" s="614"/>
      <x:c r="AE24" s="615"/>
      <x:c r="AF24" s="615"/>
      <x:c r="AG24" s="615"/>
      <x:c r="AH24" s="615"/>
      <x:c r="AI24" s="615"/>
      <x:c r="AJ24" s="615"/>
      <x:c r="AK24" s="615"/>
      <x:c r="AL24" s="615"/>
      <x:c r="AM24" s="615"/>
      <x:c r="AN24" s="616"/>
    </x:row>
    <x:row r="25" spans="1:40" customHeight="1">
      <x:c r="A25" s="192" t="s">
        <x:v>2010</x:v>
      </x:c>
      <x:c r="B25" s="315" t="s">
        <x:v>2022</x:v>
      </x:c>
      <x:c r="C25" s="290" t="s">
        <x:v>2026</x:v>
      </x:c>
      <x:c r="D25" s="20"/>
      <x:c r="E25" s="575" t="s">
        <x:v>2026</x:v>
      </x:c>
      <x:c r="F25" s="576" t="s">
        <x:v>2010</x:v>
      </x:c>
      <x:c r="G25" s="577" t="s">
        <x:v>2022</x:v>
      </x:c>
      <x:c r="H25" s="578" t="s">
        <x:v>179</x:v>
      </x:c>
      <x:c r="I25" s="579" t="s">
        <x:v>1043</x:v>
      </x:c>
      <x:c r="K25" s="252" t="s">
        <x:v>581</x:v>
      </x:c>
      <x:c r="L25" s="253" t="s">
        <x:v>139</x:v>
      </x:c>
      <x:c r="M25" s="254" t="s">
        <x:v>578</x:v>
      </x:c>
      <x:c r="O25" s="240" t="s">
        <x:v>743</x:v>
      </x:c>
      <x:c r="P25" s="207" t="s">
        <x:v>799</x:v>
      </x:c>
      <x:c r="R25" s="614"/>
      <x:c r="S25" s="615"/>
      <x:c r="T25" s="615"/>
      <x:c r="U25" s="615" t="s">
        <x:v>58</x:v>
      </x:c>
      <x:c r="V25" s="615"/>
      <x:c r="W25" s="615" t="s">
        <x:v>1515</x:v>
      </x:c>
      <x:c r="X25" s="615"/>
      <x:c r="Y25" s="615"/>
      <x:c r="Z25" s="615" t="s">
        <x:v>1025</x:v>
      </x:c>
      <x:c r="AA25" s="615"/>
      <x:c r="AB25" s="616"/>
      <x:c r="AD25" s="614"/>
      <x:c r="AE25" s="615"/>
      <x:c r="AF25" s="615"/>
      <x:c r="AG25" s="615"/>
      <x:c r="AH25" s="615"/>
      <x:c r="AI25" s="615"/>
      <x:c r="AJ25" s="615"/>
      <x:c r="AK25" s="615"/>
      <x:c r="AL25" s="615"/>
      <x:c r="AM25" s="615"/>
      <x:c r="AN25" s="616"/>
    </x:row>
    <x:row r="26" spans="1:40" customHeight="1">
      <x:c r="A26" s="371" t="s">
        <x:v>906</x:v>
      </x:c>
      <x:c r="B26" s="318" t="s">
        <x:v>2022</x:v>
      </x:c>
      <x:c r="C26" s="283" t="s">
        <x:v>2026</x:v>
      </x:c>
      <x:c r="D26" s="20"/>
      <x:c r="E26" s="575" t="s">
        <x:v>2026</x:v>
      </x:c>
      <x:c r="F26" s="576" t="s">
        <x:v>906</x:v>
      </x:c>
      <x:c r="G26" s="577" t="s">
        <x:v>2022</x:v>
      </x:c>
      <x:c r="H26" s="578" t="s">
        <x:v>149</x:v>
      </x:c>
      <x:c r="I26" s="579" t="s">
        <x:v>1055</x:v>
      </x:c>
      <x:c r="K26" s="252" t="s">
        <x:v>585</x:v>
      </x:c>
      <x:c r="L26" s="253" t="s">
        <x:v>139</x:v>
      </x:c>
      <x:c r="M26" s="254" t="s">
        <x:v>572</x:v>
      </x:c>
      <x:c r="O26" s="240" t="s">
        <x:v>746</x:v>
      </x:c>
      <x:c r="P26" s="207" t="s">
        <x:v>804</x:v>
      </x:c>
      <x:c r="R26" s="614"/>
      <x:c r="S26" s="615"/>
      <x:c r="T26" s="615"/>
      <x:c r="U26" s="615" t="s">
        <x:v>889</x:v>
      </x:c>
      <x:c r="V26" s="615"/>
      <x:c r="W26" s="615" t="s">
        <x:v>497</x:v>
      </x:c>
      <x:c r="X26" s="615"/>
      <x:c r="Y26" s="615"/>
      <x:c r="Z26" s="615" t="s">
        <x:v>1991</x:v>
      </x:c>
      <x:c r="AA26" s="615"/>
      <x:c r="AB26" s="616"/>
      <x:c r="AD26" s="614"/>
      <x:c r="AE26" s="615"/>
      <x:c r="AF26" s="615"/>
      <x:c r="AG26" s="615"/>
      <x:c r="AH26" s="615"/>
      <x:c r="AI26" s="615"/>
      <x:c r="AJ26" s="615"/>
      <x:c r="AK26" s="615"/>
      <x:c r="AL26" s="615"/>
      <x:c r="AM26" s="615"/>
      <x:c r="AN26" s="616"/>
    </x:row>
    <x:row r="27" spans="1:40" customHeight="1">
      <x:c r="A27" s="371" t="s">
        <x:v>915</x:v>
      </x:c>
      <x:c r="B27" s="318" t="s">
        <x:v>2022</x:v>
      </x:c>
      <x:c r="C27" s="283" t="s">
        <x:v>2026</x:v>
      </x:c>
      <x:c r="D27" s="20"/>
      <x:c r="E27" s="575" t="s">
        <x:v>2026</x:v>
      </x:c>
      <x:c r="F27" s="576" t="s">
        <x:v>915</x:v>
      </x:c>
      <x:c r="G27" s="577" t="s">
        <x:v>2022</x:v>
      </x:c>
      <x:c r="H27" s="578" t="s">
        <x:v>152</x:v>
      </x:c>
      <x:c r="I27" s="579" t="s">
        <x:v>1093</x:v>
      </x:c>
      <x:c r="K27" s="252" t="s">
        <x:v>586</x:v>
      </x:c>
      <x:c r="L27" s="253" t="s">
        <x:v>139</x:v>
      </x:c>
      <x:c r="M27" s="254" t="s">
        <x:v>1556</x:v>
      </x:c>
      <x:c r="O27" s="240" t="s">
        <x:v>748</x:v>
      </x:c>
      <x:c r="P27" s="207" t="s">
        <x:v>808</x:v>
      </x:c>
      <x:c r="R27" s="614"/>
      <x:c r="S27" s="615"/>
      <x:c r="T27" s="615"/>
      <x:c r="U27" s="615" t="s">
        <x:v>934</x:v>
      </x:c>
      <x:c r="V27" s="615"/>
      <x:c r="W27" s="615" t="s">
        <x:v>2019</x:v>
      </x:c>
      <x:c r="X27" s="615"/>
      <x:c r="Y27" s="615"/>
      <x:c r="Z27" s="615" t="s">
        <x:v>473</x:v>
      </x:c>
      <x:c r="AA27" s="615"/>
      <x:c r="AB27" s="616"/>
      <x:c r="AD27" s="614"/>
      <x:c r="AE27" s="615"/>
      <x:c r="AF27" s="615"/>
      <x:c r="AG27" s="615"/>
      <x:c r="AH27" s="615"/>
      <x:c r="AI27" s="615"/>
      <x:c r="AJ27" s="615"/>
      <x:c r="AK27" s="615"/>
      <x:c r="AL27" s="615"/>
      <x:c r="AM27" s="615"/>
      <x:c r="AN27" s="616"/>
    </x:row>
    <x:row r="28" spans="1:40" customHeight="1">
      <x:c r="A28" s="371" t="s">
        <x:v>908</x:v>
      </x:c>
      <x:c r="B28" s="318" t="s">
        <x:v>2022</x:v>
      </x:c>
      <x:c r="C28" s="283" t="s">
        <x:v>2026</x:v>
      </x:c>
      <x:c r="D28" s="20"/>
      <x:c r="E28" s="575" t="s">
        <x:v>2026</x:v>
      </x:c>
      <x:c r="F28" s="576" t="s">
        <x:v>908</x:v>
      </x:c>
      <x:c r="G28" s="577" t="s">
        <x:v>2022</x:v>
      </x:c>
      <x:c r="H28" s="578" t="s">
        <x:v>150</x:v>
      </x:c>
      <x:c r="I28" s="579" t="s">
        <x:v>1097</x:v>
      </x:c>
      <x:c r="K28" s="252" t="s">
        <x:v>566</x:v>
      </x:c>
      <x:c r="L28" s="253" t="s">
        <x:v>139</x:v>
      </x:c>
      <x:c r="M28" s="254" t="s">
        <x:v>1555</x:v>
      </x:c>
      <x:c r="O28" s="240" t="s">
        <x:v>755</x:v>
      </x:c>
      <x:c r="P28" s="207" t="s">
        <x:v>809</x:v>
      </x:c>
      <x:c r="R28" s="614"/>
      <x:c r="S28" s="615"/>
      <x:c r="T28" s="615"/>
      <x:c r="U28" s="615" t="s">
        <x:v>947</x:v>
      </x:c>
      <x:c r="V28" s="615"/>
      <x:c r="W28" s="615" t="s">
        <x:v>1994</x:v>
      </x:c>
      <x:c r="X28" s="615"/>
      <x:c r="Y28" s="615"/>
      <x:c r="Z28" s="615" t="s">
        <x:v>481</x:v>
      </x:c>
      <x:c r="AA28" s="615"/>
      <x:c r="AB28" s="616"/>
      <x:c r="AD28" s="614"/>
      <x:c r="AE28" s="615"/>
      <x:c r="AF28" s="615"/>
      <x:c r="AG28" s="615"/>
      <x:c r="AH28" s="615"/>
      <x:c r="AI28" s="615"/>
      <x:c r="AJ28" s="615"/>
      <x:c r="AK28" s="615"/>
      <x:c r="AL28" s="615"/>
      <x:c r="AM28" s="615"/>
      <x:c r="AN28" s="616"/>
    </x:row>
    <x:row r="29" spans="1:40" customHeight="1">
      <x:c r="A29" s="371" t="s">
        <x:v>909</x:v>
      </x:c>
      <x:c r="B29" s="318" t="s">
        <x:v>2022</x:v>
      </x:c>
      <x:c r="C29" s="283" t="s">
        <x:v>2026</x:v>
      </x:c>
      <x:c r="D29" s="20"/>
      <x:c r="E29" s="575" t="s">
        <x:v>2026</x:v>
      </x:c>
      <x:c r="F29" s="576" t="s">
        <x:v>909</x:v>
      </x:c>
      <x:c r="G29" s="577" t="s">
        <x:v>2022</x:v>
      </x:c>
      <x:c r="H29" s="578" t="s">
        <x:v>187</x:v>
      </x:c>
      <x:c r="I29" s="579" t="s">
        <x:v>1090</x:v>
      </x:c>
      <x:c r="K29" s="252" t="s">
        <x:v>570</x:v>
      </x:c>
      <x:c r="L29" s="253" t="s">
        <x:v>139</x:v>
      </x:c>
      <x:c r="M29" s="254" t="s">
        <x:v>1452</x:v>
      </x:c>
      <x:c r="O29" s="240" t="s">
        <x:v>861</x:v>
      </x:c>
      <x:c r="P29" s="207" t="s">
        <x:v>847</x:v>
      </x:c>
      <x:c r="R29" s="614"/>
      <x:c r="S29" s="615"/>
      <x:c r="T29" s="615"/>
      <x:c r="U29" s="615" t="s">
        <x:v>451</x:v>
      </x:c>
      <x:c r="V29" s="615"/>
      <x:c r="W29" s="615"/>
      <x:c r="X29" s="615"/>
      <x:c r="Y29" s="615"/>
      <x:c r="Z29" s="615" t="s">
        <x:v>499</x:v>
      </x:c>
      <x:c r="AA29" s="615"/>
      <x:c r="AB29" s="616"/>
      <x:c r="AD29" s="614"/>
      <x:c r="AE29" s="615"/>
      <x:c r="AF29" s="615"/>
      <x:c r="AG29" s="615"/>
      <x:c r="AH29" s="615"/>
      <x:c r="AI29" s="615"/>
      <x:c r="AJ29" s="615"/>
      <x:c r="AK29" s="615"/>
      <x:c r="AL29" s="615"/>
      <x:c r="AM29" s="615"/>
      <x:c r="AN29" s="616"/>
    </x:row>
    <x:row r="30" spans="1:40" customHeight="1">
      <x:c r="A30" s="371" t="s">
        <x:v>1035</x:v>
      </x:c>
      <x:c r="B30" s="318" t="s">
        <x:v>2022</x:v>
      </x:c>
      <x:c r="C30" s="283" t="s">
        <x:v>2026</x:v>
      </x:c>
      <x:c r="D30" s="20"/>
      <x:c r="E30" s="575" t="s">
        <x:v>2026</x:v>
      </x:c>
      <x:c r="F30" s="576" t="s">
        <x:v>1035</x:v>
      </x:c>
      <x:c r="G30" s="577" t="s">
        <x:v>2022</x:v>
      </x:c>
      <x:c r="H30" s="578" t="s">
        <x:v>186</x:v>
      </x:c>
      <x:c r="I30" s="579" t="s">
        <x:v>1081</x:v>
      </x:c>
      <x:c r="K30" s="252" t="s">
        <x:v>587</x:v>
      </x:c>
      <x:c r="L30" s="253" t="s">
        <x:v>139</x:v>
      </x:c>
      <x:c r="M30" s="254" t="s">
        <x:v>1631</x:v>
      </x:c>
      <x:c r="O30" s="240" t="s">
        <x:v>756</x:v>
      </x:c>
      <x:c r="P30" s="207" t="s">
        <x:v>846</x:v>
      </x:c>
      <x:c r="R30" s="614"/>
      <x:c r="S30" s="615"/>
      <x:c r="T30" s="615"/>
      <x:c r="U30" s="615" t="s">
        <x:v>24</x:v>
      </x:c>
      <x:c r="V30" s="615"/>
      <x:c r="W30" s="615"/>
      <x:c r="X30" s="615"/>
      <x:c r="Y30" s="615"/>
      <x:c r="Z30" s="615" t="s">
        <x:v>476</x:v>
      </x:c>
      <x:c r="AA30" s="615"/>
      <x:c r="AB30" s="616"/>
      <x:c r="AD30" s="614"/>
      <x:c r="AE30" s="615"/>
      <x:c r="AF30" s="615"/>
      <x:c r="AG30" s="615"/>
      <x:c r="AH30" s="615"/>
      <x:c r="AI30" s="615"/>
      <x:c r="AJ30" s="615"/>
      <x:c r="AK30" s="615"/>
      <x:c r="AL30" s="615"/>
      <x:c r="AM30" s="615"/>
      <x:c r="AN30" s="616"/>
    </x:row>
    <x:row r="31" spans="1:40" customHeight="1">
      <x:c r="A31" s="371" t="s">
        <x:v>910</x:v>
      </x:c>
      <x:c r="B31" s="318" t="s">
        <x:v>2022</x:v>
      </x:c>
      <x:c r="C31" s="283" t="s">
        <x:v>2026</x:v>
      </x:c>
      <x:c r="D31" s="20"/>
      <x:c r="E31" s="575" t="s">
        <x:v>2026</x:v>
      </x:c>
      <x:c r="F31" s="576" t="s">
        <x:v>910</x:v>
      </x:c>
      <x:c r="G31" s="577" t="s">
        <x:v>2022</x:v>
      </x:c>
      <x:c r="H31" s="578" t="s">
        <x:v>192</x:v>
      </x:c>
      <x:c r="I31" s="579" t="s">
        <x:v>1080</x:v>
      </x:c>
      <x:c r="K31" s="252" t="s">
        <x:v>590</x:v>
      </x:c>
      <x:c r="L31" s="253" t="s">
        <x:v>139</x:v>
      </x:c>
      <x:c r="M31" s="254" t="s">
        <x:v>942</x:v>
      </x:c>
      <x:c r="O31" s="240" t="s">
        <x:v>757</x:v>
      </x:c>
      <x:c r="P31" s="207" t="s">
        <x:v>827</x:v>
      </x:c>
      <x:c r="R31" s="614"/>
      <x:c r="S31" s="615"/>
      <x:c r="T31" s="615"/>
      <x:c r="U31" s="615" t="s">
        <x:v>1940</x:v>
      </x:c>
      <x:c r="V31" s="615"/>
      <x:c r="W31" s="615"/>
      <x:c r="X31" s="615"/>
      <x:c r="Y31" s="615"/>
      <x:c r="Z31" s="615"/>
      <x:c r="AA31" s="615"/>
      <x:c r="AB31" s="616"/>
      <x:c r="AD31" s="614"/>
      <x:c r="AE31" s="615"/>
      <x:c r="AF31" s="615"/>
      <x:c r="AG31" s="615"/>
      <x:c r="AH31" s="615"/>
      <x:c r="AI31" s="615"/>
      <x:c r="AJ31" s="615"/>
      <x:c r="AK31" s="615"/>
      <x:c r="AL31" s="615"/>
      <x:c r="AM31" s="615"/>
      <x:c r="AN31" s="616"/>
    </x:row>
    <x:row r="32" spans="1:40" customHeight="1">
      <x:c r="A32" s="287" t="s">
        <x:v>885</x:v>
      </x:c>
      <x:c r="B32" s="314" t="s">
        <x:v>2022</x:v>
      </x:c>
      <x:c r="C32" s="288" t="s">
        <x:v>2026</x:v>
      </x:c>
      <x:c r="D32" s="20"/>
      <x:c r="E32" s="565" t="s">
        <x:v>2026</x:v>
      </x:c>
      <x:c r="F32" s="566" t="s">
        <x:v>885</x:v>
      </x:c>
      <x:c r="G32" s="567" t="s">
        <x:v>2022</x:v>
      </x:c>
      <x:c r="H32" s="568" t="s">
        <x:v>185</x:v>
      </x:c>
      <x:c r="I32" s="569" t="s">
        <x:v>1095</x:v>
      </x:c>
      <x:c r="K32" s="252" t="s">
        <x:v>571</x:v>
      </x:c>
      <x:c r="L32" s="253" t="s">
        <x:v>139</x:v>
      </x:c>
      <x:c r="M32" s="254" t="s">
        <x:v>31</x:v>
      </x:c>
      <x:c r="O32" s="240" t="s">
        <x:v>727</x:v>
      </x:c>
      <x:c r="P32" s="207" t="s">
        <x:v>842</x:v>
      </x:c>
      <x:c r="R32" s="614"/>
      <x:c r="S32" s="615"/>
      <x:c r="T32" s="615"/>
      <x:c r="U32" s="615" t="s">
        <x:v>108</x:v>
      </x:c>
      <x:c r="V32" s="615"/>
      <x:c r="W32" s="615"/>
      <x:c r="X32" s="615"/>
      <x:c r="Y32" s="615"/>
      <x:c r="Z32" s="615"/>
      <x:c r="AA32" s="615"/>
      <x:c r="AB32" s="616"/>
      <x:c r="AD32" s="614"/>
      <x:c r="AE32" s="615"/>
      <x:c r="AF32" s="615"/>
      <x:c r="AG32" s="615"/>
      <x:c r="AH32" s="615"/>
      <x:c r="AI32" s="615"/>
      <x:c r="AJ32" s="615"/>
      <x:c r="AK32" s="615"/>
      <x:c r="AL32" s="615"/>
      <x:c r="AM32" s="615"/>
      <x:c r="AN32" s="616"/>
    </x:row>
    <x:row r="33" spans="1:40" customHeight="1">
      <x:c r="A33" s="192" t="s">
        <x:v>53</x:v>
      </x:c>
      <x:c r="B33" s="315" t="s">
        <x:v>2022</x:v>
      </x:c>
      <x:c r="C33" s="290" t="s">
        <x:v>1026</x:v>
      </x:c>
      <x:c r="D33" s="20"/>
      <x:c r="E33" s="575" t="s">
        <x:v>1026</x:v>
      </x:c>
      <x:c r="F33" s="576" t="s">
        <x:v>53</x:v>
      </x:c>
      <x:c r="G33" s="577" t="s">
        <x:v>2022</x:v>
      </x:c>
      <x:c r="H33" s="578" t="s">
        <x:v>202</x:v>
      </x:c>
      <x:c r="I33" s="579" t="s">
        <x:v>1096</x:v>
      </x:c>
      <x:c r="K33" s="252" t="s">
        <x:v>591</x:v>
      </x:c>
      <x:c r="L33" s="253" t="s">
        <x:v>139</x:v>
      </x:c>
      <x:c r="M33" s="254" t="s">
        <x:v>28</x:v>
      </x:c>
      <x:c r="O33" s="240"/>
      <x:c r="P33" s="206" t="s">
        <x:v>1578</x:v>
      </x:c>
      <x:c r="R33" s="614"/>
      <x:c r="S33" s="615"/>
      <x:c r="T33" s="615"/>
      <x:c r="U33" s="615" t="s">
        <x:v>107</x:v>
      </x:c>
      <x:c r="V33" s="615"/>
      <x:c r="W33" s="615"/>
      <x:c r="X33" s="615"/>
      <x:c r="Y33" s="615"/>
      <x:c r="Z33" s="615"/>
      <x:c r="AA33" s="615"/>
      <x:c r="AB33" s="616"/>
      <x:c r="AD33" s="614"/>
      <x:c r="AE33" s="615"/>
      <x:c r="AF33" s="615"/>
      <x:c r="AG33" s="615"/>
      <x:c r="AH33" s="615"/>
      <x:c r="AI33" s="615"/>
      <x:c r="AJ33" s="615"/>
      <x:c r="AK33" s="615"/>
      <x:c r="AL33" s="615"/>
      <x:c r="AM33" s="615"/>
      <x:c r="AN33" s="616"/>
    </x:row>
    <x:row r="34" spans="1:40" customHeight="1">
      <x:c r="A34" s="194" t="s">
        <x:v>899</x:v>
      </x:c>
      <x:c r="B34" s="318" t="s">
        <x:v>2022</x:v>
      </x:c>
      <x:c r="C34" s="283" t="s">
        <x:v>1026</x:v>
      </x:c>
      <x:c r="D34" s="20"/>
      <x:c r="E34" s="575" t="s">
        <x:v>1026</x:v>
      </x:c>
      <x:c r="F34" s="576" t="s">
        <x:v>899</x:v>
      </x:c>
      <x:c r="G34" s="577" t="s">
        <x:v>2022</x:v>
      </x:c>
      <x:c r="H34" s="578" t="s">
        <x:v>188</x:v>
      </x:c>
      <x:c r="I34" s="579" t="s">
        <x:v>1104</x:v>
      </x:c>
      <x:c r="K34" s="261" t="s">
        <x:v>592</x:v>
      </x:c>
      <x:c r="L34" s="262" t="s">
        <x:v>139</x:v>
      </x:c>
      <x:c r="M34" s="263" t="s">
        <x:v>27</x:v>
      </x:c>
      <x:c r="O34" s="240" t="s">
        <x:v>863</x:v>
      </x:c>
      <x:c r="P34" s="207" t="s">
        <x:v>829</x:v>
      </x:c>
      <x:c r="R34" s="614"/>
      <x:c r="S34" s="615"/>
      <x:c r="T34" s="615"/>
      <x:c r="U34" s="615" t="s">
        <x:v>60</x:v>
      </x:c>
      <x:c r="V34" s="615"/>
      <x:c r="W34" s="615"/>
      <x:c r="X34" s="615"/>
      <x:c r="Y34" s="615"/>
      <x:c r="Z34" s="615"/>
      <x:c r="AA34" s="615"/>
      <x:c r="AB34" s="616"/>
      <x:c r="AD34" s="614"/>
      <x:c r="AE34" s="615"/>
      <x:c r="AF34" s="615"/>
      <x:c r="AG34" s="615"/>
      <x:c r="AH34" s="615"/>
      <x:c r="AI34" s="615"/>
      <x:c r="AJ34" s="615"/>
      <x:c r="AK34" s="615"/>
      <x:c r="AL34" s="615"/>
      <x:c r="AM34" s="615"/>
      <x:c r="AN34" s="616"/>
    </x:row>
    <x:row r="35" spans="1:40" customHeight="1">
      <x:c r="A35" s="194" t="s">
        <x:v>904</x:v>
      </x:c>
      <x:c r="B35" s="318" t="s">
        <x:v>2022</x:v>
      </x:c>
      <x:c r="C35" s="283" t="s">
        <x:v>1026</x:v>
      </x:c>
      <x:c r="D35" s="20"/>
      <x:c r="E35" s="575" t="s">
        <x:v>1026</x:v>
      </x:c>
      <x:c r="F35" s="576" t="s">
        <x:v>904</x:v>
      </x:c>
      <x:c r="G35" s="577" t="s">
        <x:v>2022</x:v>
      </x:c>
      <x:c r="H35" s="578" t="s">
        <x:v>189</x:v>
      </x:c>
      <x:c r="I35" s="579" t="s">
        <x:v>1078</x:v>
      </x:c>
      <x:c r="K35" s="602"/>
      <x:c r="L35" s="603"/>
      <x:c r="M35" s="604"/>
      <x:c r="O35" s="240"/>
      <x:c r="P35" s="207"/>
      <x:c r="R35" s="614"/>
      <x:c r="S35" s="615"/>
      <x:c r="T35" s="615"/>
      <x:c r="U35" s="615" t="s">
        <x:v>1665</x:v>
      </x:c>
      <x:c r="V35" s="615"/>
      <x:c r="W35" s="615"/>
      <x:c r="X35" s="615"/>
      <x:c r="Y35" s="615"/>
      <x:c r="Z35" s="615"/>
      <x:c r="AA35" s="615"/>
      <x:c r="AB35" s="616"/>
      <x:c r="AD35" s="614"/>
      <x:c r="AE35" s="615"/>
      <x:c r="AF35" s="615"/>
      <x:c r="AG35" s="615"/>
      <x:c r="AH35" s="615"/>
      <x:c r="AI35" s="615"/>
      <x:c r="AJ35" s="615"/>
      <x:c r="AK35" s="615"/>
      <x:c r="AL35" s="615"/>
      <x:c r="AM35" s="615"/>
      <x:c r="AN35" s="616"/>
    </x:row>
    <x:row r="36" spans="1:40" customHeight="1">
      <x:c r="A36" s="287" t="s">
        <x:v>1019</x:v>
      </x:c>
      <x:c r="B36" s="314" t="s">
        <x:v>2022</x:v>
      </x:c>
      <x:c r="C36" s="288" t="s">
        <x:v>1026</x:v>
      </x:c>
      <x:c r="D36" s="20"/>
      <x:c r="E36" s="575" t="s">
        <x:v>1026</x:v>
      </x:c>
      <x:c r="F36" s="576" t="s">
        <x:v>1019</x:v>
      </x:c>
      <x:c r="G36" s="577" t="s">
        <x:v>2022</x:v>
      </x:c>
      <x:c r="H36" s="578" t="s">
        <x:v>199</x:v>
      </x:c>
      <x:c r="I36" s="579">
        <x:v>10712</x:v>
      </x:c>
      <x:c r="K36" s="264" t="s">
        <x:v>576</x:v>
      </x:c>
      <x:c r="L36" s="265" t="s">
        <x:v>140</x:v>
      </x:c>
      <x:c r="M36" s="266" t="s">
        <x:v>140</x:v>
      </x:c>
      <x:c r="O36" s="240" t="s">
        <x:v>864</x:v>
      </x:c>
      <x:c r="P36" s="208" t="s">
        <x:v>1501</x:v>
      </x:c>
      <x:c r="R36" s="614"/>
      <x:c r="S36" s="615"/>
      <x:c r="T36" s="615"/>
      <x:c r="U36" s="615" t="s">
        <x:v>492</x:v>
      </x:c>
      <x:c r="V36" s="615"/>
      <x:c r="W36" s="615"/>
      <x:c r="X36" s="615"/>
      <x:c r="Y36" s="615"/>
      <x:c r="Z36" s="615"/>
      <x:c r="AA36" s="615"/>
      <x:c r="AB36" s="616"/>
      <x:c r="AD36" s="614"/>
      <x:c r="AE36" s="615"/>
      <x:c r="AF36" s="615"/>
      <x:c r="AG36" s="615"/>
      <x:c r="AH36" s="615"/>
      <x:c r="AI36" s="615"/>
      <x:c r="AJ36" s="615"/>
      <x:c r="AK36" s="615"/>
      <x:c r="AL36" s="615"/>
      <x:c r="AM36" s="615"/>
      <x:c r="AN36" s="616"/>
    </x:row>
    <x:row r="37" spans="1:40" customHeight="1">
      <x:c r="A37" s="192" t="s">
        <x:v>83</x:v>
      </x:c>
      <x:c r="B37" s="315" t="s">
        <x:v>1938</x:v>
      </x:c>
      <x:c r="C37" s="290" t="s">
        <x:v>1936</x:v>
      </x:c>
      <x:c r="D37" s="20"/>
      <x:c r="E37" s="575" t="s">
        <x:v>1936</x:v>
      </x:c>
      <x:c r="F37" s="576" t="s">
        <x:v>83</x:v>
      </x:c>
      <x:c r="G37" s="577" t="s">
        <x:v>1938</x:v>
      </x:c>
      <x:c r="H37" s="578" t="s">
        <x:v>200</x:v>
      </x:c>
      <x:c r="I37" s="579" t="s">
        <x:v>1094</x:v>
      </x:c>
      <x:c r="K37" s="249" t="s">
        <x:v>575</x:v>
      </x:c>
      <x:c r="L37" s="250" t="s">
        <x:v>695</x:v>
      </x:c>
      <x:c r="M37" s="251" t="s">
        <x:v>573</x:v>
      </x:c>
      <x:c r="O37" s="240" t="s">
        <x:v>773</x:v>
      </x:c>
      <x:c r="P37" s="207" t="s">
        <x:v>1470</x:v>
      </x:c>
      <x:c r="R37" s="614"/>
      <x:c r="S37" s="615"/>
      <x:c r="T37" s="615"/>
      <x:c r="U37" s="615" t="s">
        <x:v>471</x:v>
      </x:c>
      <x:c r="V37" s="615"/>
      <x:c r="W37" s="615"/>
      <x:c r="X37" s="615"/>
      <x:c r="Y37" s="615"/>
      <x:c r="Z37" s="615"/>
      <x:c r="AA37" s="615"/>
      <x:c r="AB37" s="616"/>
      <x:c r="AD37" s="614"/>
      <x:c r="AE37" s="615"/>
      <x:c r="AF37" s="615"/>
      <x:c r="AG37" s="615"/>
      <x:c r="AH37" s="615"/>
      <x:c r="AI37" s="615"/>
      <x:c r="AJ37" s="615"/>
      <x:c r="AK37" s="615"/>
      <x:c r="AL37" s="615"/>
      <x:c r="AM37" s="615"/>
      <x:c r="AN37" s="616"/>
    </x:row>
    <x:row r="38" spans="1:40" customHeight="1">
      <x:c r="A38" s="192" t="s">
        <x:v>1943</x:v>
      </x:c>
      <x:c r="B38" s="315" t="s">
        <x:v>1938</x:v>
      </x:c>
      <x:c r="C38" s="290" t="s">
        <x:v>1936</x:v>
      </x:c>
      <x:c r="D38" s="20"/>
      <x:c r="E38" s="575" t="s">
        <x:v>1936</x:v>
      </x:c>
      <x:c r="F38" s="576" t="s">
        <x:v>1943</x:v>
      </x:c>
      <x:c r="G38" s="577" t="s">
        <x:v>1938</x:v>
      </x:c>
      <x:c r="H38" s="578" t="s">
        <x:v>193</x:v>
      </x:c>
      <x:c r="I38" s="579" t="s">
        <x:v>1076</x:v>
      </x:c>
      <x:c r="K38" s="252" t="s">
        <x:v>589</x:v>
      </x:c>
      <x:c r="L38" s="253" t="s">
        <x:v>695</x:v>
      </x:c>
      <x:c r="M38" s="254" t="s">
        <x:v>574</x:v>
      </x:c>
      <x:c r="O38" s="240" t="s">
        <x:v>775</x:v>
      </x:c>
      <x:c r="P38" s="207" t="s">
        <x:v>884</x:v>
      </x:c>
      <x:c r="R38" s="614"/>
      <x:c r="S38" s="615"/>
      <x:c r="T38" s="615"/>
      <x:c r="U38" s="615" t="s">
        <x:v>494</x:v>
      </x:c>
      <x:c r="V38" s="615"/>
      <x:c r="W38" s="615"/>
      <x:c r="X38" s="615"/>
      <x:c r="Y38" s="615"/>
      <x:c r="Z38" s="615"/>
      <x:c r="AA38" s="615"/>
      <x:c r="AB38" s="616"/>
      <x:c r="AD38" s="614"/>
      <x:c r="AE38" s="615"/>
      <x:c r="AF38" s="615"/>
      <x:c r="AG38" s="615"/>
      <x:c r="AH38" s="615"/>
      <x:c r="AI38" s="615"/>
      <x:c r="AJ38" s="615"/>
      <x:c r="AK38" s="615"/>
      <x:c r="AL38" s="615"/>
      <x:c r="AM38" s="615"/>
      <x:c r="AN38" s="616"/>
    </x:row>
    <x:row r="39" spans="1:40" customHeight="1">
      <x:c r="A39" s="194" t="s">
        <x:v>82</x:v>
      </x:c>
      <x:c r="B39" s="318" t="s">
        <x:v>1938</x:v>
      </x:c>
      <x:c r="C39" s="283" t="s">
        <x:v>1936</x:v>
      </x:c>
      <x:c r="D39" s="20"/>
      <x:c r="E39" s="575" t="s">
        <x:v>1936</x:v>
      </x:c>
      <x:c r="F39" s="576" t="s">
        <x:v>82</x:v>
      </x:c>
      <x:c r="G39" s="577" t="s">
        <x:v>1938</x:v>
      </x:c>
      <x:c r="H39" s="578" t="s">
        <x:v>190</x:v>
      </x:c>
      <x:c r="I39" s="579" t="s">
        <x:v>1079</x:v>
      </x:c>
      <x:c r="K39" s="255" t="s">
        <x:v>595</x:v>
      </x:c>
      <x:c r="L39" s="256" t="s">
        <x:v>695</x:v>
      </x:c>
      <x:c r="M39" s="257" t="s">
        <x:v>579</x:v>
      </x:c>
      <x:c r="O39" s="240" t="s">
        <x:v>783</x:v>
      </x:c>
      <x:c r="P39" s="207" t="s">
        <x:v>870</x:v>
      </x:c>
      <x:c r="R39" s="614"/>
      <x:c r="S39" s="615"/>
      <x:c r="T39" s="615"/>
      <x:c r="U39" s="615" t="s">
        <x:v>1945</x:v>
      </x:c>
      <x:c r="V39" s="615"/>
      <x:c r="W39" s="615"/>
      <x:c r="X39" s="615"/>
      <x:c r="Y39" s="615"/>
      <x:c r="Z39" s="615"/>
      <x:c r="AA39" s="615"/>
      <x:c r="AB39" s="616"/>
      <x:c r="AD39" s="614"/>
      <x:c r="AE39" s="615"/>
      <x:c r="AF39" s="615"/>
      <x:c r="AG39" s="615"/>
      <x:c r="AH39" s="615"/>
      <x:c r="AI39" s="615"/>
      <x:c r="AJ39" s="615"/>
      <x:c r="AK39" s="615"/>
      <x:c r="AL39" s="615"/>
      <x:c r="AM39" s="615"/>
      <x:c r="AN39" s="616"/>
    </x:row>
    <x:row r="40" spans="1:40" customHeight="1">
      <x:c r="A40" s="194" t="s">
        <x:v>489</x:v>
      </x:c>
      <x:c r="B40" s="318" t="s">
        <x:v>1938</x:v>
      </x:c>
      <x:c r="C40" s="283" t="s">
        <x:v>1936</x:v>
      </x:c>
      <x:c r="D40" s="20"/>
      <x:c r="E40" s="575" t="s">
        <x:v>1936</x:v>
      </x:c>
      <x:c r="F40" s="576" t="s">
        <x:v>489</x:v>
      </x:c>
      <x:c r="G40" s="577" t="s">
        <x:v>1938</x:v>
      </x:c>
      <x:c r="H40" s="578" t="s">
        <x:v>194</x:v>
      </x:c>
      <x:c r="I40" s="579" t="s">
        <x:v>1088</x:v>
      </x:c>
      <x:c r="K40" s="249" t="s">
        <x:v>582</x:v>
      </x:c>
      <x:c r="L40" s="250" t="s">
        <x:v>712</x:v>
      </x:c>
      <x:c r="M40" s="251" t="s">
        <x:v>1457</x:v>
      </x:c>
      <x:c r="O40" s="240"/>
      <x:c r="P40" s="206" t="s">
        <x:v>1581</x:v>
      </x:c>
      <x:c r="R40" s="614"/>
      <x:c r="S40" s="615"/>
      <x:c r="T40" s="615"/>
      <x:c r="U40" s="615" t="s">
        <x:v>522</x:v>
      </x:c>
      <x:c r="V40" s="615"/>
      <x:c r="W40" s="615"/>
      <x:c r="X40" s="615"/>
      <x:c r="Y40" s="615"/>
      <x:c r="Z40" s="615"/>
      <x:c r="AA40" s="615"/>
      <x:c r="AB40" s="616"/>
      <x:c r="AD40" s="614"/>
      <x:c r="AE40" s="615"/>
      <x:c r="AF40" s="615"/>
      <x:c r="AG40" s="615"/>
      <x:c r="AH40" s="615"/>
      <x:c r="AI40" s="615"/>
      <x:c r="AJ40" s="615"/>
      <x:c r="AK40" s="615"/>
      <x:c r="AL40" s="615"/>
      <x:c r="AM40" s="615"/>
      <x:c r="AN40" s="616"/>
    </x:row>
    <x:row r="41" spans="1:40" customHeight="1">
      <x:c r="A41" s="194" t="s">
        <x:v>84</x:v>
      </x:c>
      <x:c r="B41" s="318" t="s">
        <x:v>1938</x:v>
      </x:c>
      <x:c r="C41" s="283" t="s">
        <x:v>1936</x:v>
      </x:c>
      <x:c r="D41" s="20"/>
      <x:c r="E41" s="575" t="s">
        <x:v>1936</x:v>
      </x:c>
      <x:c r="F41" s="576" t="s">
        <x:v>84</x:v>
      </x:c>
      <x:c r="G41" s="577" t="s">
        <x:v>1938</x:v>
      </x:c>
      <x:c r="H41" s="578" t="s">
        <x:v>195</x:v>
      </x:c>
      <x:c r="I41" s="579" t="s">
        <x:v>1089</x:v>
      </x:c>
      <x:c r="K41" s="252" t="s">
        <x:v>583</x:v>
      </x:c>
      <x:c r="L41" s="253" t="s">
        <x:v>712</x:v>
      </x:c>
      <x:c r="M41" s="254" t="s">
        <x:v>1454</x:v>
      </x:c>
      <x:c r="O41" s="240" t="s">
        <x:v>784</x:v>
      </x:c>
      <x:c r="P41" s="207" t="s">
        <x:v>865</x:v>
      </x:c>
      <x:c r="R41" s="614"/>
      <x:c r="S41" s="615"/>
      <x:c r="T41" s="615"/>
      <x:c r="U41" s="615" t="s">
        <x:v>1946</x:v>
      </x:c>
      <x:c r="V41" s="615"/>
      <x:c r="W41" s="615"/>
      <x:c r="X41" s="615"/>
      <x:c r="Y41" s="615"/>
      <x:c r="Z41" s="615"/>
      <x:c r="AA41" s="615"/>
      <x:c r="AB41" s="616"/>
      <x:c r="AD41" s="614"/>
      <x:c r="AE41" s="615"/>
      <x:c r="AF41" s="615"/>
      <x:c r="AG41" s="615"/>
      <x:c r="AH41" s="615"/>
      <x:c r="AI41" s="615"/>
      <x:c r="AJ41" s="615"/>
      <x:c r="AK41" s="615"/>
      <x:c r="AL41" s="615"/>
      <x:c r="AM41" s="615"/>
      <x:c r="AN41" s="616"/>
    </x:row>
    <x:row r="42" spans="1:40" customHeight="1">
      <x:c r="A42" s="194" t="s">
        <x:v>524</x:v>
      </x:c>
      <x:c r="B42" s="318" t="s">
        <x:v>1938</x:v>
      </x:c>
      <x:c r="C42" s="283" t="s">
        <x:v>1936</x:v>
      </x:c>
      <x:c r="D42" s="20"/>
      <x:c r="E42" s="575" t="s">
        <x:v>1936</x:v>
      </x:c>
      <x:c r="F42" s="576" t="s">
        <x:v>524</x:v>
      </x:c>
      <x:c r="G42" s="577" t="s">
        <x:v>1938</x:v>
      </x:c>
      <x:c r="H42" s="578" t="s">
        <x:v>183</x:v>
      </x:c>
      <x:c r="I42" s="579" t="s">
        <x:v>1098</x:v>
      </x:c>
      <x:c r="K42" s="252" t="s">
        <x:v>588</x:v>
      </x:c>
      <x:c r="L42" s="253" t="s">
        <x:v>712</x:v>
      </x:c>
      <x:c r="M42" s="254" t="s">
        <x:v>1641</x:v>
      </x:c>
      <x:c r="O42" s="240" t="s">
        <x:v>866</x:v>
      </x:c>
      <x:c r="P42" s="207" t="s">
        <x:v>824</x:v>
      </x:c>
      <x:c r="R42" s="614"/>
      <x:c r="S42" s="615"/>
      <x:c r="T42" s="615"/>
      <x:c r="U42" s="615" t="s">
        <x:v>1976</x:v>
      </x:c>
      <x:c r="V42" s="615"/>
      <x:c r="W42" s="615"/>
      <x:c r="X42" s="615"/>
      <x:c r="Y42" s="615"/>
      <x:c r="Z42" s="615"/>
      <x:c r="AA42" s="615"/>
      <x:c r="AB42" s="616"/>
      <x:c r="AD42" s="614"/>
      <x:c r="AE42" s="615"/>
      <x:c r="AF42" s="615"/>
      <x:c r="AG42" s="615"/>
      <x:c r="AH42" s="615"/>
      <x:c r="AI42" s="615"/>
      <x:c r="AJ42" s="615"/>
      <x:c r="AK42" s="615"/>
      <x:c r="AL42" s="615"/>
      <x:c r="AM42" s="615"/>
      <x:c r="AN42" s="616"/>
    </x:row>
    <x:row r="43" spans="1:40" customHeight="1">
      <x:c r="A43" s="194" t="s">
        <x:v>77</x:v>
      </x:c>
      <x:c r="B43" s="318" t="s">
        <x:v>1938</x:v>
      </x:c>
      <x:c r="C43" s="283" t="s">
        <x:v>1936</x:v>
      </x:c>
      <x:c r="D43" s="20"/>
      <x:c r="E43" s="575" t="s">
        <x:v>1936</x:v>
      </x:c>
      <x:c r="F43" s="576" t="s">
        <x:v>77</x:v>
      </x:c>
      <x:c r="G43" s="577" t="s">
        <x:v>1938</x:v>
      </x:c>
      <x:c r="H43" s="578" t="s">
        <x:v>191</x:v>
      </x:c>
      <x:c r="I43" s="579" t="s">
        <x:v>1099</x:v>
      </x:c>
      <x:c r="K43" s="252" t="s">
        <x:v>596</x:v>
      </x:c>
      <x:c r="L43" s="253" t="s">
        <x:v>712</x:v>
      </x:c>
      <x:c r="M43" s="254" t="s">
        <x:v>955</x:v>
      </x:c>
      <x:c r="O43" s="240" t="s">
        <x:v>780</x:v>
      </x:c>
      <x:c r="P43" s="207" t="s">
        <x:v>828</x:v>
      </x:c>
      <x:c r="R43" s="614"/>
      <x:c r="S43" s="615"/>
      <x:c r="T43" s="615"/>
      <x:c r="U43" s="615" t="s">
        <x:v>1977</x:v>
      </x:c>
      <x:c r="V43" s="615"/>
      <x:c r="W43" s="615"/>
      <x:c r="X43" s="615"/>
      <x:c r="Y43" s="615"/>
      <x:c r="Z43" s="615"/>
      <x:c r="AA43" s="615"/>
      <x:c r="AB43" s="616"/>
      <x:c r="AD43" s="614"/>
      <x:c r="AE43" s="615"/>
      <x:c r="AF43" s="615"/>
      <x:c r="AG43" s="615"/>
      <x:c r="AH43" s="615"/>
      <x:c r="AI43" s="615"/>
      <x:c r="AJ43" s="615"/>
      <x:c r="AK43" s="615"/>
      <x:c r="AL43" s="615"/>
      <x:c r="AM43" s="615"/>
      <x:c r="AN43" s="616"/>
    </x:row>
    <x:row r="44" spans="1:40" customHeight="1">
      <x:c r="A44" s="193" t="s">
        <x:v>512</x:v>
      </x:c>
      <x:c r="B44" s="316" t="s">
        <x:v>1938</x:v>
      </x:c>
      <x:c r="C44" s="291" t="s">
        <x:v>1936</x:v>
      </x:c>
      <x:c r="D44" s="20"/>
      <x:c r="E44" s="565" t="s">
        <x:v>1936</x:v>
      </x:c>
      <x:c r="F44" s="566" t="s">
        <x:v>512</x:v>
      </x:c>
      <x:c r="G44" s="567" t="s">
        <x:v>1938</x:v>
      </x:c>
      <x:c r="H44" s="568" t="s">
        <x:v>197</x:v>
      </x:c>
      <x:c r="I44" s="569" t="s">
        <x:v>1077</x:v>
      </x:c>
      <x:c r="K44" s="252" t="s">
        <x:v>584</x:v>
      </x:c>
      <x:c r="L44" s="253" t="s">
        <x:v>712</x:v>
      </x:c>
      <x:c r="M44" s="254" t="s">
        <x:v>20</x:v>
      </x:c>
      <x:c r="O44" s="240" t="s">
        <x:v>782</x:v>
      </x:c>
      <x:c r="P44" s="207" t="s">
        <x:v>835</x:v>
      </x:c>
      <x:c r="R44" s="614"/>
      <x:c r="S44" s="615"/>
      <x:c r="T44" s="615"/>
      <x:c r="U44" s="615" t="s">
        <x:v>1978</x:v>
      </x:c>
      <x:c r="V44" s="615"/>
      <x:c r="W44" s="615"/>
      <x:c r="X44" s="615"/>
      <x:c r="Y44" s="615"/>
      <x:c r="Z44" s="615"/>
      <x:c r="AA44" s="615"/>
      <x:c r="AB44" s="616"/>
      <x:c r="AD44" s="614"/>
      <x:c r="AE44" s="615"/>
      <x:c r="AF44" s="615"/>
      <x:c r="AG44" s="615"/>
      <x:c r="AH44" s="615"/>
      <x:c r="AI44" s="615"/>
      <x:c r="AJ44" s="615"/>
      <x:c r="AK44" s="615"/>
      <x:c r="AL44" s="615"/>
      <x:c r="AM44" s="615"/>
      <x:c r="AN44" s="616"/>
    </x:row>
    <x:row r="45" spans="1:40" customHeight="1">
      <x:c r="A45" s="192" t="s">
        <x:v>498</x:v>
      </x:c>
      <x:c r="B45" s="315" t="s">
        <x:v>2020</x:v>
      </x:c>
      <x:c r="C45" s="290" t="s">
        <x:v>103</x:v>
      </x:c>
      <x:c r="D45" s="20"/>
      <x:c r="E45" s="575" t="s">
        <x:v>103</x:v>
      </x:c>
      <x:c r="F45" s="576" t="s">
        <x:v>498</x:v>
      </x:c>
      <x:c r="G45" s="577" t="s">
        <x:v>2020</x:v>
      </x:c>
      <x:c r="H45" s="578" t="s">
        <x:v>201</x:v>
      </x:c>
      <x:c r="I45" s="579" t="s">
        <x:v>1086</x:v>
      </x:c>
      <x:c r="K45" s="252" t="s">
        <x:v>597</x:v>
      </x:c>
      <x:c r="L45" s="253" t="s">
        <x:v>712</x:v>
      </x:c>
      <x:c r="M45" s="254" t="s">
        <x:v>19</x:v>
      </x:c>
      <x:c r="O45" s="240" t="s">
        <x:v>776</x:v>
      </x:c>
      <x:c r="P45" s="207" t="s">
        <x:v>834</x:v>
      </x:c>
      <x:c r="R45" s="614"/>
      <x:c r="S45" s="615"/>
      <x:c r="T45" s="615"/>
      <x:c r="U45" s="615" t="s">
        <x:v>1974</x:v>
      </x:c>
      <x:c r="V45" s="615"/>
      <x:c r="W45" s="615"/>
      <x:c r="X45" s="615"/>
      <x:c r="Y45" s="615"/>
      <x:c r="Z45" s="615"/>
      <x:c r="AA45" s="615"/>
      <x:c r="AB45" s="616"/>
      <x:c r="AD45" s="614"/>
      <x:c r="AE45" s="615"/>
      <x:c r="AF45" s="615"/>
      <x:c r="AG45" s="615"/>
      <x:c r="AH45" s="615"/>
      <x:c r="AI45" s="615"/>
      <x:c r="AJ45" s="615"/>
      <x:c r="AK45" s="615"/>
      <x:c r="AL45" s="615"/>
      <x:c r="AM45" s="615"/>
      <x:c r="AN45" s="616"/>
    </x:row>
    <x:row r="46" spans="1:40" customHeight="1">
      <x:c r="A46" s="192" t="s">
        <x:v>513</x:v>
      </x:c>
      <x:c r="B46" s="315" t="s">
        <x:v>2020</x:v>
      </x:c>
      <x:c r="C46" s="290" t="s">
        <x:v>103</x:v>
      </x:c>
      <x:c r="D46" s="20"/>
      <x:c r="E46" s="575" t="s">
        <x:v>103</x:v>
      </x:c>
      <x:c r="F46" s="576" t="s">
        <x:v>513</x:v>
      </x:c>
      <x:c r="G46" s="577" t="s">
        <x:v>2020</x:v>
      </x:c>
      <x:c r="H46" s="578" t="s">
        <x:v>205</x:v>
      </x:c>
      <x:c r="I46" s="579" t="s">
        <x:v>1075</x:v>
      </x:c>
      <x:c r="K46" s="252" t="s">
        <x:v>593</x:v>
      </x:c>
      <x:c r="L46" s="253" t="s">
        <x:v>712</x:v>
      </x:c>
      <x:c r="M46" s="254" t="s">
        <x:v>1660</x:v>
      </x:c>
      <x:c r="O46" s="240"/>
      <x:c r="P46" s="206" t="s">
        <x:v>1584</x:v>
      </x:c>
      <x:c r="R46" s="614"/>
      <x:c r="S46" s="615"/>
      <x:c r="T46" s="615"/>
      <x:c r="U46" s="615" t="s">
        <x:v>1971</x:v>
      </x:c>
      <x:c r="V46" s="615"/>
      <x:c r="W46" s="615"/>
      <x:c r="X46" s="615"/>
      <x:c r="Y46" s="615"/>
      <x:c r="Z46" s="615"/>
      <x:c r="AA46" s="615"/>
      <x:c r="AB46" s="616"/>
      <x:c r="AD46" s="614"/>
      <x:c r="AE46" s="615"/>
      <x:c r="AF46" s="615"/>
      <x:c r="AG46" s="615"/>
      <x:c r="AH46" s="615"/>
      <x:c r="AI46" s="615"/>
      <x:c r="AJ46" s="615"/>
      <x:c r="AK46" s="615"/>
      <x:c r="AL46" s="615"/>
      <x:c r="AM46" s="615"/>
      <x:c r="AN46" s="616"/>
    </x:row>
    <x:row r="47" spans="1:40" customHeight="1">
      <x:c r="A47" s="194" t="s">
        <x:v>2021</x:v>
      </x:c>
      <x:c r="B47" s="318" t="s">
        <x:v>2020</x:v>
      </x:c>
      <x:c r="C47" s="283" t="s">
        <x:v>103</x:v>
      </x:c>
      <x:c r="D47" s="20"/>
      <x:c r="E47" s="575" t="s">
        <x:v>103</x:v>
      </x:c>
      <x:c r="F47" s="576" t="s">
        <x:v>2021</x:v>
      </x:c>
      <x:c r="G47" s="577" t="s">
        <x:v>2020</x:v>
      </x:c>
      <x:c r="H47" s="578" t="s">
        <x:v>203</x:v>
      </x:c>
      <x:c r="I47" s="579" t="s">
        <x:v>1082</x:v>
      </x:c>
      <x:c r="K47" s="252" t="s">
        <x:v>567</x:v>
      </x:c>
      <x:c r="L47" s="253" t="s">
        <x:v>712</x:v>
      </x:c>
      <x:c r="M47" s="254" t="s">
        <x:v>975</x:v>
      </x:c>
      <x:c r="O47" s="240" t="s">
        <x:v>867</x:v>
      </x:c>
      <x:c r="P47" s="207" t="s">
        <x:v>841</x:v>
      </x:c>
      <x:c r="R47" s="614"/>
      <x:c r="S47" s="615"/>
      <x:c r="T47" s="615"/>
      <x:c r="U47" s="615" t="s">
        <x:v>1013</x:v>
      </x:c>
      <x:c r="V47" s="615"/>
      <x:c r="W47" s="615"/>
      <x:c r="X47" s="615"/>
      <x:c r="Y47" s="615"/>
      <x:c r="Z47" s="615"/>
      <x:c r="AA47" s="615"/>
      <x:c r="AB47" s="616"/>
      <x:c r="AD47" s="614"/>
      <x:c r="AE47" s="615"/>
      <x:c r="AF47" s="615"/>
      <x:c r="AG47" s="615"/>
      <x:c r="AH47" s="615"/>
      <x:c r="AI47" s="615"/>
      <x:c r="AJ47" s="615"/>
      <x:c r="AK47" s="615"/>
      <x:c r="AL47" s="615"/>
      <x:c r="AM47" s="615"/>
      <x:c r="AN47" s="616"/>
    </x:row>
    <x:row r="48" spans="1:40" customHeight="1">
      <x:c r="A48" s="194" t="s">
        <x:v>2001</x:v>
      </x:c>
      <x:c r="B48" s="318" t="s">
        <x:v>2020</x:v>
      </x:c>
      <x:c r="C48" s="283" t="s">
        <x:v>103</x:v>
      </x:c>
      <x:c r="D48" s="20"/>
      <x:c r="E48" s="575" t="s">
        <x:v>103</x:v>
      </x:c>
      <x:c r="F48" s="576" t="s">
        <x:v>2001</x:v>
      </x:c>
      <x:c r="G48" s="577" t="s">
        <x:v>2020</x:v>
      </x:c>
      <x:c r="H48" s="578" t="s">
        <x:v>207</x:v>
      </x:c>
      <x:c r="I48" s="579" t="s">
        <x:v>1100</x:v>
      </x:c>
      <x:c r="K48" s="252" t="s">
        <x:v>568</x:v>
      </x:c>
      <x:c r="L48" s="253" t="s">
        <x:v>712</x:v>
      </x:c>
      <x:c r="M48" s="254" t="s">
        <x:v>956</x:v>
      </x:c>
      <x:c r="O48" s="240"/>
      <x:c r="P48" s="206" t="s">
        <x:v>1575</x:v>
      </x:c>
      <x:c r="R48" s="614"/>
      <x:c r="S48" s="615"/>
      <x:c r="T48" s="615"/>
      <x:c r="U48" s="615" t="s">
        <x:v>1981</x:v>
      </x:c>
      <x:c r="V48" s="615"/>
      <x:c r="W48" s="615"/>
      <x:c r="X48" s="615"/>
      <x:c r="Y48" s="615"/>
      <x:c r="Z48" s="615"/>
      <x:c r="AA48" s="615"/>
      <x:c r="AB48" s="616"/>
      <x:c r="AD48" s="614"/>
      <x:c r="AE48" s="615"/>
      <x:c r="AF48" s="615"/>
      <x:c r="AG48" s="615"/>
      <x:c r="AH48" s="615"/>
      <x:c r="AI48" s="615"/>
      <x:c r="AJ48" s="615"/>
      <x:c r="AK48" s="615"/>
      <x:c r="AL48" s="615"/>
      <x:c r="AM48" s="615"/>
      <x:c r="AN48" s="616"/>
    </x:row>
    <x:row r="49" spans="1:40" customHeight="1">
      <x:c r="A49" s="193" t="s">
        <x:v>1545</x:v>
      </x:c>
      <x:c r="B49" s="316" t="s">
        <x:v>2020</x:v>
      </x:c>
      <x:c r="C49" s="291" t="s">
        <x:v>103</x:v>
      </x:c>
      <x:c r="D49" s="20"/>
      <x:c r="E49" s="565" t="s">
        <x:v>103</x:v>
      </x:c>
      <x:c r="F49" s="566" t="s">
        <x:v>1545</x:v>
      </x:c>
      <x:c r="G49" s="567" t="s">
        <x:v>2020</x:v>
      </x:c>
      <x:c r="H49" s="568" t="s">
        <x:v>211</x:v>
      </x:c>
      <x:c r="I49" s="569" t="s">
        <x:v>1091</x:v>
      </x:c>
      <x:c r="K49" s="252" t="s">
        <x:v>608</x:v>
      </x:c>
      <x:c r="L49" s="253" t="s">
        <x:v>712</x:v>
      </x:c>
      <x:c r="M49" s="254" t="s">
        <x:v>18</x:v>
      </x:c>
      <x:c r="O49" s="240" t="s">
        <x:v>761</x:v>
      </x:c>
      <x:c r="P49" s="207" t="s">
        <x:v>1494</x:v>
      </x:c>
      <x:c r="R49" s="614"/>
      <x:c r="S49" s="615"/>
      <x:c r="T49" s="615"/>
      <x:c r="U49" s="615" t="s">
        <x:v>1972</x:v>
      </x:c>
      <x:c r="V49" s="615"/>
      <x:c r="W49" s="615"/>
      <x:c r="X49" s="615"/>
      <x:c r="Y49" s="615"/>
      <x:c r="Z49" s="615"/>
      <x:c r="AA49" s="615"/>
      <x:c r="AB49" s="616"/>
      <x:c r="AD49" s="614"/>
      <x:c r="AE49" s="615"/>
      <x:c r="AF49" s="615"/>
      <x:c r="AG49" s="615"/>
      <x:c r="AH49" s="615"/>
      <x:c r="AI49" s="615"/>
      <x:c r="AJ49" s="615"/>
      <x:c r="AK49" s="615"/>
      <x:c r="AL49" s="615"/>
      <x:c r="AM49" s="615"/>
      <x:c r="AN49" s="616"/>
    </x:row>
    <x:row r="50" spans="1:40" customHeight="1">
      <x:c r="A50" s="192" t="s">
        <x:v>985</x:v>
      </x:c>
      <x:c r="B50" s="315" t="s">
        <x:v>2020</x:v>
      </x:c>
      <x:c r="C50" s="290" t="s">
        <x:v>525</x:v>
      </x:c>
      <x:c r="D50" s="20"/>
      <x:c r="E50" s="575" t="s">
        <x:v>525</x:v>
      </x:c>
      <x:c r="F50" s="576" t="s">
        <x:v>985</x:v>
      </x:c>
      <x:c r="G50" s="577" t="s">
        <x:v>2020</x:v>
      </x:c>
      <x:c r="H50" s="578" t="s">
        <x:v>206</x:v>
      </x:c>
      <x:c r="I50" s="579" t="s">
        <x:v>1101</x:v>
      </x:c>
      <x:c r="K50" s="252" t="s">
        <x:v>600</x:v>
      </x:c>
      <x:c r="L50" s="253" t="s">
        <x:v>712</x:v>
      </x:c>
      <x:c r="M50" s="254" t="s">
        <x:v>960</x:v>
      </x:c>
      <x:c r="O50" s="240" t="s">
        <x:v>785</x:v>
      </x:c>
      <x:c r="P50" s="207" t="s">
        <x:v>1491</x:v>
      </x:c>
      <x:c r="R50" s="614"/>
      <x:c r="S50" s="615"/>
      <x:c r="T50" s="615"/>
      <x:c r="U50" s="615" t="s">
        <x:v>1979</x:v>
      </x:c>
      <x:c r="V50" s="615"/>
      <x:c r="W50" s="615"/>
      <x:c r="X50" s="615"/>
      <x:c r="Y50" s="615"/>
      <x:c r="Z50" s="615"/>
      <x:c r="AA50" s="615"/>
      <x:c r="AB50" s="616"/>
      <x:c r="AD50" s="614"/>
      <x:c r="AE50" s="615"/>
      <x:c r="AF50" s="615"/>
      <x:c r="AG50" s="615"/>
      <x:c r="AH50" s="615"/>
      <x:c r="AI50" s="615"/>
      <x:c r="AJ50" s="615"/>
      <x:c r="AK50" s="615"/>
      <x:c r="AL50" s="615"/>
      <x:c r="AM50" s="615"/>
      <x:c r="AN50" s="616"/>
    </x:row>
    <x:row r="51" spans="1:40" customHeight="1">
      <x:c r="A51" s="192" t="s">
        <x:v>1009</x:v>
      </x:c>
      <x:c r="B51" s="315" t="s">
        <x:v>2020</x:v>
      </x:c>
      <x:c r="C51" s="290" t="s">
        <x:v>525</x:v>
      </x:c>
      <x:c r="D51" s="20"/>
      <x:c r="E51" s="575" t="s">
        <x:v>525</x:v>
      </x:c>
      <x:c r="F51" s="576" t="s">
        <x:v>1009</x:v>
      </x:c>
      <x:c r="G51" s="577" t="s">
        <x:v>2020</x:v>
      </x:c>
      <x:c r="H51" s="578" t="s">
        <x:v>181</x:v>
      </x:c>
      <x:c r="I51" s="579" t="s">
        <x:v>1102</x:v>
      </x:c>
      <x:c r="K51" s="252" t="s">
        <x:v>598</x:v>
      </x:c>
      <x:c r="L51" s="253" t="s">
        <x:v>712</x:v>
      </x:c>
      <x:c r="M51" s="254" t="s">
        <x:v>1635</x:v>
      </x:c>
      <x:c r="O51" s="240" t="s">
        <x:v>768</x:v>
      </x:c>
      <x:c r="P51" s="207" t="s">
        <x:v>845</x:v>
      </x:c>
      <x:c r="R51" s="614"/>
      <x:c r="S51" s="615"/>
      <x:c r="T51" s="615"/>
      <x:c r="U51" s="615" t="s">
        <x:v>1960</x:v>
      </x:c>
      <x:c r="V51" s="615"/>
      <x:c r="W51" s="615"/>
      <x:c r="X51" s="615"/>
      <x:c r="Y51" s="615"/>
      <x:c r="Z51" s="615"/>
      <x:c r="AA51" s="615"/>
      <x:c r="AB51" s="616"/>
      <x:c r="AD51" s="614"/>
      <x:c r="AE51" s="615"/>
      <x:c r="AF51" s="615"/>
      <x:c r="AG51" s="615"/>
      <x:c r="AH51" s="615"/>
      <x:c r="AI51" s="615"/>
      <x:c r="AJ51" s="615"/>
      <x:c r="AK51" s="615"/>
      <x:c r="AL51" s="615"/>
      <x:c r="AM51" s="615"/>
      <x:c r="AN51" s="616"/>
    </x:row>
    <x:row r="52" spans="1:40" customHeight="1">
      <x:c r="A52" s="194" t="s">
        <x:v>988</x:v>
      </x:c>
      <x:c r="B52" s="318" t="s">
        <x:v>2020</x:v>
      </x:c>
      <x:c r="C52" s="283" t="s">
        <x:v>525</x:v>
      </x:c>
      <x:c r="D52" s="20"/>
      <x:c r="E52" s="575" t="s">
        <x:v>525</x:v>
      </x:c>
      <x:c r="F52" s="576" t="s">
        <x:v>988</x:v>
      </x:c>
      <x:c r="G52" s="577" t="s">
        <x:v>2020</x:v>
      </x:c>
      <x:c r="H52" s="578" t="s">
        <x:v>204</x:v>
      </x:c>
      <x:c r="I52" s="579" t="s">
        <x:v>1103</x:v>
      </x:c>
      <x:c r="K52" s="252" t="s">
        <x:v>974</x:v>
      </x:c>
      <x:c r="L52" s="253" t="s">
        <x:v>712</x:v>
      </x:c>
      <x:c r="M52" s="254" t="s">
        <x:v>976</x:v>
      </x:c>
      <x:c r="O52" s="240"/>
      <x:c r="P52" s="205" t="s">
        <x:v>1593</x:v>
      </x:c>
      <x:c r="R52" s="614"/>
      <x:c r="S52" s="615"/>
      <x:c r="T52" s="615"/>
      <x:c r="U52" s="615" t="s">
        <x:v>1962</x:v>
      </x:c>
      <x:c r="V52" s="615"/>
      <x:c r="W52" s="615"/>
      <x:c r="X52" s="615"/>
      <x:c r="Y52" s="615"/>
      <x:c r="Z52" s="615"/>
      <x:c r="AA52" s="615"/>
      <x:c r="AB52" s="616"/>
      <x:c r="AD52" s="614"/>
      <x:c r="AE52" s="615"/>
      <x:c r="AF52" s="615"/>
      <x:c r="AG52" s="615"/>
      <x:c r="AH52" s="615"/>
      <x:c r="AI52" s="615"/>
      <x:c r="AJ52" s="615"/>
      <x:c r="AK52" s="615"/>
      <x:c r="AL52" s="615"/>
      <x:c r="AM52" s="615"/>
      <x:c r="AN52" s="616"/>
    </x:row>
    <x:row r="53" spans="1:40" customHeight="1">
      <x:c r="A53" s="194" t="s">
        <x:v>2009</x:v>
      </x:c>
      <x:c r="B53" s="318" t="s">
        <x:v>2020</x:v>
      </x:c>
      <x:c r="C53" s="283" t="s">
        <x:v>525</x:v>
      </x:c>
      <x:c r="D53" s="20"/>
      <x:c r="E53" s="575" t="s">
        <x:v>525</x:v>
      </x:c>
      <x:c r="F53" s="576" t="s">
        <x:v>2009</x:v>
      </x:c>
      <x:c r="G53" s="577" t="s">
        <x:v>2020</x:v>
      </x:c>
      <x:c r="H53" s="578" t="s">
        <x:v>196</x:v>
      </x:c>
      <x:c r="I53" s="579" t="s">
        <x:v>1083</x:v>
      </x:c>
      <x:c r="K53" s="261" t="s">
        <x:v>959</x:v>
      </x:c>
      <x:c r="L53" s="262" t="s">
        <x:v>712</x:v>
      </x:c>
      <x:c r="M53" s="263" t="s">
        <x:v>957</x:v>
      </x:c>
      <x:c r="O53" s="240"/>
      <x:c r="P53" s="206" t="s">
        <x:v>1590</x:v>
      </x:c>
      <x:c r="R53" s="614"/>
      <x:c r="S53" s="615"/>
      <x:c r="T53" s="615"/>
      <x:c r="U53" s="615" t="s">
        <x:v>1980</x:v>
      </x:c>
      <x:c r="V53" s="615"/>
      <x:c r="W53" s="615"/>
      <x:c r="X53" s="615"/>
      <x:c r="Y53" s="615"/>
      <x:c r="Z53" s="615"/>
      <x:c r="AA53" s="615"/>
      <x:c r="AB53" s="616"/>
      <x:c r="AD53" s="614"/>
      <x:c r="AE53" s="615"/>
      <x:c r="AF53" s="615"/>
      <x:c r="AG53" s="615"/>
      <x:c r="AH53" s="615"/>
      <x:c r="AI53" s="615"/>
      <x:c r="AJ53" s="615"/>
      <x:c r="AK53" s="615"/>
      <x:c r="AL53" s="615"/>
      <x:c r="AM53" s="615"/>
      <x:c r="AN53" s="616"/>
    </x:row>
    <x:row r="54" spans="1:40" customHeight="1">
      <x:c r="A54" s="194" t="s">
        <x:v>991</x:v>
      </x:c>
      <x:c r="B54" s="318" t="s">
        <x:v>2020</x:v>
      </x:c>
      <x:c r="C54" s="283" t="s">
        <x:v>525</x:v>
      </x:c>
      <x:c r="D54" s="20"/>
      <x:c r="E54" s="575" t="s">
        <x:v>525</x:v>
      </x:c>
      <x:c r="F54" s="576" t="s">
        <x:v>991</x:v>
      </x:c>
      <x:c r="G54" s="577" t="s">
        <x:v>2020</x:v>
      </x:c>
      <x:c r="H54" s="578" t="s">
        <x:v>208</x:v>
      </x:c>
      <x:c r="I54" s="579" t="s">
        <x:v>1105</x:v>
      </x:c>
      <x:c r="K54" s="249" t="s">
        <x:v>613</x:v>
      </x:c>
      <x:c r="L54" s="250" t="s">
        <x:v>1570</x:v>
      </x:c>
      <x:c r="M54" s="251" t="s">
        <x:v>1561</x:v>
      </x:c>
      <x:c r="O54" s="240" t="s">
        <x:v>781</x:v>
      </x:c>
      <x:c r="P54" s="207" t="s">
        <x:v>1502</x:v>
      </x:c>
      <x:c r="R54" s="614"/>
      <x:c r="S54" s="615"/>
      <x:c r="T54" s="615"/>
      <x:c r="U54" s="615" t="s">
        <x:v>1961</x:v>
      </x:c>
      <x:c r="V54" s="615"/>
      <x:c r="W54" s="615"/>
      <x:c r="X54" s="615"/>
      <x:c r="Y54" s="615"/>
      <x:c r="Z54" s="615"/>
      <x:c r="AA54" s="615"/>
      <x:c r="AB54" s="616"/>
      <x:c r="AD54" s="614"/>
      <x:c r="AE54" s="615"/>
      <x:c r="AF54" s="615"/>
      <x:c r="AG54" s="615"/>
      <x:c r="AH54" s="615"/>
      <x:c r="AI54" s="615"/>
      <x:c r="AJ54" s="615"/>
      <x:c r="AK54" s="615"/>
      <x:c r="AL54" s="615"/>
      <x:c r="AM54" s="615"/>
      <x:c r="AN54" s="616"/>
    </x:row>
    <x:row r="55" spans="1:40" customHeight="1">
      <x:c r="A55" s="371" t="s">
        <x:v>548</x:v>
      </x:c>
      <x:c r="B55" s="318" t="s">
        <x:v>2020</x:v>
      </x:c>
      <x:c r="C55" s="283" t="s">
        <x:v>525</x:v>
      </x:c>
      <x:c r="D55" s="20"/>
      <x:c r="E55" s="575" t="s">
        <x:v>525</x:v>
      </x:c>
      <x:c r="F55" s="576" t="s">
        <x:v>548</x:v>
      </x:c>
      <x:c r="G55" s="577" t="s">
        <x:v>2020</x:v>
      </x:c>
      <x:c r="H55" s="578" t="s">
        <x:v>210</x:v>
      </x:c>
      <x:c r="I55" s="579" t="s">
        <x:v>1074</x:v>
      </x:c>
      <x:c r="K55" s="255" t="s">
        <x:v>619</x:v>
      </x:c>
      <x:c r="L55" s="256" t="s">
        <x:v>1570</x:v>
      </x:c>
      <x:c r="M55" s="257" t="s">
        <x:v>1649</x:v>
      </x:c>
      <x:c r="O55" s="240" t="s">
        <x:v>769</x:v>
      </x:c>
      <x:c r="P55" s="207" t="s">
        <x:v>1652</x:v>
      </x:c>
      <x:c r="R55" s="614"/>
      <x:c r="S55" s="615"/>
      <x:c r="T55" s="615"/>
      <x:c r="U55" s="615" t="s">
        <x:v>1982</x:v>
      </x:c>
      <x:c r="V55" s="615"/>
      <x:c r="W55" s="615"/>
      <x:c r="X55" s="615"/>
      <x:c r="Y55" s="615"/>
      <x:c r="Z55" s="615"/>
      <x:c r="AA55" s="615"/>
      <x:c r="AB55" s="616"/>
      <x:c r="AD55" s="614"/>
      <x:c r="AE55" s="615"/>
      <x:c r="AF55" s="615"/>
      <x:c r="AG55" s="615"/>
      <x:c r="AH55" s="615"/>
      <x:c r="AI55" s="615"/>
      <x:c r="AJ55" s="615"/>
      <x:c r="AK55" s="615"/>
      <x:c r="AL55" s="615"/>
      <x:c r="AM55" s="615"/>
      <x:c r="AN55" s="616"/>
    </x:row>
    <x:row r="56" spans="1:40" customHeight="1">
      <x:c r="A56" s="372" t="s">
        <x:v>2002</x:v>
      </x:c>
      <x:c r="B56" s="316" t="s">
        <x:v>2020</x:v>
      </x:c>
      <x:c r="C56" s="291" t="s">
        <x:v>525</x:v>
      </x:c>
      <x:c r="D56" s="20"/>
      <x:c r="E56" s="565" t="s">
        <x:v>525</x:v>
      </x:c>
      <x:c r="F56" s="566" t="s">
        <x:v>2002</x:v>
      </x:c>
      <x:c r="G56" s="567" t="s">
        <x:v>2020</x:v>
      </x:c>
      <x:c r="H56" s="568" t="s">
        <x:v>184</x:v>
      </x:c>
      <x:c r="I56" s="569" t="s">
        <x:v>1084</x:v>
      </x:c>
      <x:c r="K56" s="264" t="s">
        <x:v>599</x:v>
      </x:c>
      <x:c r="L56" s="265" t="s">
        <x:v>141</x:v>
      </x:c>
      <x:c r="M56" s="266" t="s">
        <x:v>141</x:v>
      </x:c>
      <x:c r="O56" s="240" t="s">
        <x:v>786</x:v>
      </x:c>
      <x:c r="P56" s="207" t="s">
        <x:v>1490</x:v>
      </x:c>
      <x:c r="R56" s="614"/>
      <x:c r="S56" s="615"/>
      <x:c r="T56" s="615"/>
      <x:c r="U56" s="615" t="s">
        <x:v>1968</x:v>
      </x:c>
      <x:c r="V56" s="615"/>
      <x:c r="W56" s="615"/>
      <x:c r="X56" s="615"/>
      <x:c r="Y56" s="615"/>
      <x:c r="Z56" s="615"/>
      <x:c r="AA56" s="615"/>
      <x:c r="AB56" s="616"/>
      <x:c r="AD56" s="614"/>
      <x:c r="AE56" s="615"/>
      <x:c r="AF56" s="615"/>
      <x:c r="AG56" s="615"/>
      <x:c r="AH56" s="615"/>
      <x:c r="AI56" s="615"/>
      <x:c r="AJ56" s="615"/>
      <x:c r="AK56" s="615"/>
      <x:c r="AL56" s="615"/>
      <x:c r="AM56" s="615"/>
      <x:c r="AN56" s="616"/>
    </x:row>
    <x:row r="57" spans="1:40" customHeight="1">
      <x:c r="A57" s="373" t="s">
        <x:v>986</x:v>
      </x:c>
      <x:c r="B57" s="315" t="s">
        <x:v>1512</x:v>
      </x:c>
      <x:c r="C57" s="290" t="s">
        <x:v>2000</x:v>
      </x:c>
      <x:c r="D57" s="20"/>
      <x:c r="E57" s="575" t="s">
        <x:v>2000</x:v>
      </x:c>
      <x:c r="F57" s="576" t="s">
        <x:v>986</x:v>
      </x:c>
      <x:c r="G57" s="577" t="s">
        <x:v>1512</x:v>
      </x:c>
      <x:c r="H57" s="578" t="s">
        <x:v>209</x:v>
      </x:c>
      <x:c r="I57" s="579">
        <x:v>13001</x:v>
      </x:c>
      <x:c r="K57" s="249" t="s">
        <x:v>601</x:v>
      </x:c>
      <x:c r="L57" s="250" t="s">
        <x:v>1569</x:v>
      </x:c>
      <x:c r="M57" s="251" t="s">
        <x:v>604</x:v>
      </x:c>
      <x:c r="O57" s="240" t="s">
        <x:v>778</x:v>
      </x:c>
      <x:c r="P57" s="207" t="s">
        <x:v>1488</x:v>
      </x:c>
      <x:c r="R57" s="614"/>
      <x:c r="S57" s="615"/>
      <x:c r="T57" s="615"/>
      <x:c r="U57" s="615" t="s">
        <x:v>1983</x:v>
      </x:c>
      <x:c r="V57" s="615"/>
      <x:c r="W57" s="615"/>
      <x:c r="X57" s="615"/>
      <x:c r="Y57" s="615"/>
      <x:c r="Z57" s="615"/>
      <x:c r="AA57" s="615"/>
      <x:c r="AB57" s="616"/>
      <x:c r="AD57" s="614"/>
      <x:c r="AE57" s="615"/>
      <x:c r="AF57" s="615"/>
      <x:c r="AG57" s="615"/>
      <x:c r="AH57" s="615"/>
      <x:c r="AI57" s="615"/>
      <x:c r="AJ57" s="615"/>
      <x:c r="AK57" s="615"/>
      <x:c r="AL57" s="615"/>
      <x:c r="AM57" s="615"/>
      <x:c r="AN57" s="616"/>
    </x:row>
    <x:row r="58" spans="1:40" customHeight="1">
      <x:c r="A58" s="373" t="s">
        <x:v>1005</x:v>
      </x:c>
      <x:c r="B58" s="315" t="s">
        <x:v>1512</x:v>
      </x:c>
      <x:c r="C58" s="290" t="s">
        <x:v>2000</x:v>
      </x:c>
      <x:c r="D58" s="20"/>
      <x:c r="E58" s="575" t="s">
        <x:v>2000</x:v>
      </x:c>
      <x:c r="F58" s="576" t="s">
        <x:v>1005</x:v>
      </x:c>
      <x:c r="G58" s="577" t="s">
        <x:v>1512</x:v>
      </x:c>
      <x:c r="H58" s="578" t="s">
        <x:v>182</x:v>
      </x:c>
      <x:c r="I58" s="579">
        <x:v>13002</x:v>
      </x:c>
      <x:c r="K58" s="252" t="s">
        <x:v>603</x:v>
      </x:c>
      <x:c r="L58" s="253" t="s">
        <x:v>1569</x:v>
      </x:c>
      <x:c r="M58" s="254" t="s">
        <x:v>610</x:v>
      </x:c>
      <x:c r="O58" s="240"/>
      <x:c r="P58" s="206" t="s">
        <x:v>1632</x:v>
      </x:c>
      <x:c r="R58" s="614"/>
      <x:c r="S58" s="615"/>
      <x:c r="T58" s="615"/>
      <x:c r="U58" s="615" t="s">
        <x:v>1975</x:v>
      </x:c>
      <x:c r="V58" s="615"/>
      <x:c r="W58" s="615"/>
      <x:c r="X58" s="615"/>
      <x:c r="Y58" s="615"/>
      <x:c r="Z58" s="615"/>
      <x:c r="AA58" s="615"/>
      <x:c r="AB58" s="616"/>
      <x:c r="AD58" s="614"/>
      <x:c r="AE58" s="615"/>
      <x:c r="AF58" s="615"/>
      <x:c r="AG58" s="615"/>
      <x:c r="AH58" s="615"/>
      <x:c r="AI58" s="615"/>
      <x:c r="AJ58" s="615"/>
      <x:c r="AK58" s="615"/>
      <x:c r="AL58" s="615"/>
      <x:c r="AM58" s="615"/>
      <x:c r="AN58" s="616"/>
    </x:row>
    <x:row r="59" spans="1:40" customHeight="1">
      <x:c r="A59" s="194" t="s">
        <x:v>931</x:v>
      </x:c>
      <x:c r="B59" s="318" t="s">
        <x:v>1512</x:v>
      </x:c>
      <x:c r="C59" s="283" t="s">
        <x:v>2000</x:v>
      </x:c>
      <x:c r="D59" s="20"/>
      <x:c r="E59" s="575" t="s">
        <x:v>2000</x:v>
      </x:c>
      <x:c r="F59" s="576" t="s">
        <x:v>931</x:v>
      </x:c>
      <x:c r="G59" s="577" t="s">
        <x:v>1512</x:v>
      </x:c>
      <x:c r="H59" s="578" t="s">
        <x:v>212</x:v>
      </x:c>
      <x:c r="I59" s="579">
        <x:v>13003</x:v>
      </x:c>
      <x:c r="K59" s="252" t="s">
        <x:v>612</x:v>
      </x:c>
      <x:c r="L59" s="253" t="s">
        <x:v>1569</x:v>
      </x:c>
      <x:c r="M59" s="254" t="s">
        <x:v>611</x:v>
      </x:c>
      <x:c r="O59" s="240" t="s">
        <x:v>758</x:v>
      </x:c>
      <x:c r="P59" s="207" t="s">
        <x:v>1504</x:v>
      </x:c>
      <x:c r="R59" s="614"/>
      <x:c r="S59" s="615"/>
      <x:c r="T59" s="615"/>
      <x:c r="U59" s="615" t="s">
        <x:v>1984</x:v>
      </x:c>
      <x:c r="V59" s="615"/>
      <x:c r="W59" s="615"/>
      <x:c r="X59" s="615"/>
      <x:c r="Y59" s="615"/>
      <x:c r="Z59" s="615"/>
      <x:c r="AA59" s="615"/>
      <x:c r="AB59" s="616"/>
      <x:c r="AD59" s="614"/>
      <x:c r="AE59" s="615"/>
      <x:c r="AF59" s="615"/>
      <x:c r="AG59" s="615"/>
      <x:c r="AH59" s="615"/>
      <x:c r="AI59" s="615"/>
      <x:c r="AJ59" s="615"/>
      <x:c r="AK59" s="615"/>
      <x:c r="AL59" s="615"/>
      <x:c r="AM59" s="615"/>
      <x:c r="AN59" s="616"/>
    </x:row>
    <x:row r="60" spans="1:40" customHeight="1">
      <x:c r="A60" s="194" t="s">
        <x:v>502</x:v>
      </x:c>
      <x:c r="B60" s="318" t="s">
        <x:v>1512</x:v>
      </x:c>
      <x:c r="C60" s="283" t="s">
        <x:v>2000</x:v>
      </x:c>
      <x:c r="D60" s="20"/>
      <x:c r="E60" s="575" t="s">
        <x:v>2000</x:v>
      </x:c>
      <x:c r="F60" s="576" t="s">
        <x:v>502</x:v>
      </x:c>
      <x:c r="G60" s="577" t="s">
        <x:v>1512</x:v>
      </x:c>
      <x:c r="H60" s="578" t="s">
        <x:v>198</x:v>
      </x:c>
      <x:c r="I60" s="579">
        <x:v>13004</x:v>
      </x:c>
      <x:c r="K60" s="255" t="s">
        <x:v>920</x:v>
      </x:c>
      <x:c r="L60" s="256" t="s">
        <x:v>1569</x:v>
      </x:c>
      <x:c r="M60" s="257" t="s">
        <x:v>1459</x:v>
      </x:c>
      <x:c r="O60" s="240"/>
      <x:c r="P60" s="206" t="s">
        <x:v>1591</x:v>
      </x:c>
      <x:c r="R60" s="614"/>
      <x:c r="S60" s="615"/>
      <x:c r="T60" s="615"/>
      <x:c r="U60" s="615" t="s">
        <x:v>1985</x:v>
      </x:c>
      <x:c r="V60" s="615"/>
      <x:c r="W60" s="615"/>
      <x:c r="X60" s="615"/>
      <x:c r="Y60" s="615"/>
      <x:c r="Z60" s="615"/>
      <x:c r="AA60" s="615"/>
      <x:c r="AB60" s="616"/>
      <x:c r="AD60" s="614"/>
      <x:c r="AE60" s="615"/>
      <x:c r="AF60" s="615"/>
      <x:c r="AG60" s="615"/>
      <x:c r="AH60" s="615"/>
      <x:c r="AI60" s="615"/>
      <x:c r="AJ60" s="615"/>
      <x:c r="AK60" s="615"/>
      <x:c r="AL60" s="615"/>
      <x:c r="AM60" s="615"/>
      <x:c r="AN60" s="616"/>
    </x:row>
    <x:row r="61" spans="1:40" customHeight="1">
      <x:c r="A61" s="194" t="s">
        <x:v>946</x:v>
      </x:c>
      <x:c r="B61" s="318" t="s">
        <x:v>1512</x:v>
      </x:c>
      <x:c r="C61" s="283" t="s">
        <x:v>2000</x:v>
      </x:c>
      <x:c r="D61" s="20"/>
      <x:c r="E61" s="575" t="s">
        <x:v>2000</x:v>
      </x:c>
      <x:c r="F61" s="576" t="s">
        <x:v>946</x:v>
      </x:c>
      <x:c r="G61" s="577" t="s">
        <x:v>1512</x:v>
      </x:c>
      <x:c r="H61" s="578" t="s">
        <x:v>230</x:v>
      </x:c>
      <x:c r="I61" s="579">
        <x:v>13005</x:v>
      </x:c>
      <x:c r="K61" s="264" t="s">
        <x:v>614</x:v>
      </x:c>
      <x:c r="L61" s="265" t="s">
        <x:v>723</x:v>
      </x:c>
      <x:c r="M61" s="266" t="s">
        <x:v>602</x:v>
      </x:c>
      <x:c r="O61" s="240" t="s">
        <x:v>779</x:v>
      </x:c>
      <x:c r="P61" s="208" t="s">
        <x:v>1651</x:v>
      </x:c>
      <x:c r="R61" s="614"/>
      <x:c r="S61" s="615"/>
      <x:c r="T61" s="615"/>
      <x:c r="U61" s="615" t="s">
        <x:v>1973</x:v>
      </x:c>
      <x:c r="V61" s="615"/>
      <x:c r="W61" s="615"/>
      <x:c r="X61" s="615"/>
      <x:c r="Y61" s="615"/>
      <x:c r="Z61" s="615"/>
      <x:c r="AA61" s="615"/>
      <x:c r="AB61" s="616"/>
      <x:c r="AD61" s="614"/>
      <x:c r="AE61" s="615"/>
      <x:c r="AF61" s="615"/>
      <x:c r="AG61" s="615"/>
      <x:c r="AH61" s="615"/>
      <x:c r="AI61" s="615"/>
      <x:c r="AJ61" s="615"/>
      <x:c r="AK61" s="615"/>
      <x:c r="AL61" s="615"/>
      <x:c r="AM61" s="615"/>
      <x:c r="AN61" s="616"/>
    </x:row>
    <x:row r="62" spans="1:40" customHeight="1">
      <x:c r="A62" s="194" t="s">
        <x:v>1992</x:v>
      </x:c>
      <x:c r="B62" s="318" t="s">
        <x:v>1512</x:v>
      </x:c>
      <x:c r="C62" s="283" t="s">
        <x:v>2000</x:v>
      </x:c>
      <x:c r="D62" s="20"/>
      <x:c r="E62" s="575" t="s">
        <x:v>2000</x:v>
      </x:c>
      <x:c r="F62" s="576" t="s">
        <x:v>1992</x:v>
      </x:c>
      <x:c r="G62" s="577" t="s">
        <x:v>1512</x:v>
      </x:c>
      <x:c r="H62" s="578" t="s">
        <x:v>220</x:v>
      </x:c>
      <x:c r="I62" s="579">
        <x:v>13006</x:v>
      </x:c>
      <x:c r="K62" s="264" t="s">
        <x:v>622</x:v>
      </x:c>
      <x:c r="L62" s="265" t="s">
        <x:v>128</x:v>
      </x:c>
      <x:c r="M62" s="266" t="s">
        <x:v>128</x:v>
      </x:c>
      <x:c r="O62" s="240" t="s">
        <x:v>868</x:v>
      </x:c>
      <x:c r="P62" s="208" t="s">
        <x:v>1503</x:v>
      </x:c>
      <x:c r="R62" s="614"/>
      <x:c r="S62" s="615"/>
      <x:c r="T62" s="615"/>
      <x:c r="U62" s="615" t="s">
        <x:v>1969</x:v>
      </x:c>
      <x:c r="V62" s="615"/>
      <x:c r="W62" s="615"/>
      <x:c r="X62" s="615"/>
      <x:c r="Y62" s="615"/>
      <x:c r="Z62" s="615"/>
      <x:c r="AA62" s="615"/>
      <x:c r="AB62" s="616"/>
      <x:c r="AD62" s="614"/>
      <x:c r="AE62" s="615"/>
      <x:c r="AF62" s="615"/>
      <x:c r="AG62" s="615"/>
      <x:c r="AH62" s="615"/>
      <x:c r="AI62" s="615"/>
      <x:c r="AJ62" s="615"/>
      <x:c r="AK62" s="615"/>
      <x:c r="AL62" s="615"/>
      <x:c r="AM62" s="615"/>
      <x:c r="AN62" s="616"/>
    </x:row>
    <x:row r="63" spans="1:40" customHeight="1">
      <x:c r="A63" s="194" t="s">
        <x:v>926</x:v>
      </x:c>
      <x:c r="B63" s="318" t="s">
        <x:v>1512</x:v>
      </x:c>
      <x:c r="C63" s="283" t="s">
        <x:v>2000</x:v>
      </x:c>
      <x:c r="D63" s="20"/>
      <x:c r="E63" s="575" t="s">
        <x:v>2000</x:v>
      </x:c>
      <x:c r="F63" s="576" t="s">
        <x:v>926</x:v>
      </x:c>
      <x:c r="G63" s="577" t="s">
        <x:v>1512</x:v>
      </x:c>
      <x:c r="H63" s="578" t="s">
        <x:v>239</x:v>
      </x:c>
      <x:c r="I63" s="579">
        <x:v>13007</x:v>
      </x:c>
      <x:c r="K63" s="249" t="s">
        <x:v>623</x:v>
      </x:c>
      <x:c r="L63" s="250" t="s">
        <x:v>708</x:v>
      </x:c>
      <x:c r="M63" s="251" t="s">
        <x:v>966</x:v>
      </x:c>
      <x:c r="O63" s="240" t="s">
        <x:v>969</x:v>
      </x:c>
      <x:c r="P63" s="208" t="s">
        <x:v>958</x:v>
      </x:c>
      <x:c r="R63" s="614"/>
      <x:c r="S63" s="615"/>
      <x:c r="T63" s="615"/>
      <x:c r="U63" s="615" t="s">
        <x:v>1970</x:v>
      </x:c>
      <x:c r="V63" s="615"/>
      <x:c r="W63" s="615"/>
      <x:c r="X63" s="615"/>
      <x:c r="Y63" s="615"/>
      <x:c r="Z63" s="615"/>
      <x:c r="AA63" s="615"/>
      <x:c r="AB63" s="616"/>
      <x:c r="AD63" s="614"/>
      <x:c r="AE63" s="615"/>
      <x:c r="AF63" s="615"/>
      <x:c r="AG63" s="615"/>
      <x:c r="AH63" s="615"/>
      <x:c r="AI63" s="615"/>
      <x:c r="AJ63" s="615"/>
      <x:c r="AK63" s="615"/>
      <x:c r="AL63" s="615"/>
      <x:c r="AM63" s="615"/>
      <x:c r="AN63" s="616"/>
    </x:row>
    <x:row r="64" spans="1:40" customHeight="1">
      <x:c r="A64" s="194" t="s">
        <x:v>1534</x:v>
      </x:c>
      <x:c r="B64" s="318" t="s">
        <x:v>1512</x:v>
      </x:c>
      <x:c r="C64" s="283" t="s">
        <x:v>2000</x:v>
      </x:c>
      <x:c r="D64" s="20"/>
      <x:c r="E64" s="575" t="s">
        <x:v>2000</x:v>
      </x:c>
      <x:c r="F64" s="576" t="s">
        <x:v>1534</x:v>
      </x:c>
      <x:c r="G64" s="577" t="s">
        <x:v>1512</x:v>
      </x:c>
      <x:c r="H64" s="578" t="s">
        <x:v>232</x:v>
      </x:c>
      <x:c r="I64" s="579">
        <x:v>13008</x:v>
      </x:c>
      <x:c r="K64" s="252" t="s">
        <x:v>605</x:v>
      </x:c>
      <x:c r="L64" s="253" t="s">
        <x:v>708</x:v>
      </x:c>
      <x:c r="M64" s="254" t="s">
        <x:v>1541</x:v>
      </x:c>
      <x:c r="O64" s="240"/>
      <x:c r="P64" s="206" t="s">
        <x:v>1594</x:v>
      </x:c>
      <x:c r="R64" s="614"/>
      <x:c r="S64" s="615"/>
      <x:c r="T64" s="615"/>
      <x:c r="U64" s="615" t="s">
        <x:v>1963</x:v>
      </x:c>
      <x:c r="V64" s="615"/>
      <x:c r="W64" s="615"/>
      <x:c r="X64" s="615"/>
      <x:c r="Y64" s="615"/>
      <x:c r="Z64" s="615"/>
      <x:c r="AA64" s="615"/>
      <x:c r="AB64" s="616"/>
      <x:c r="AD64" s="614"/>
      <x:c r="AE64" s="615"/>
      <x:c r="AF64" s="615"/>
      <x:c r="AG64" s="615"/>
      <x:c r="AH64" s="615"/>
      <x:c r="AI64" s="615"/>
      <x:c r="AJ64" s="615"/>
      <x:c r="AK64" s="615"/>
      <x:c r="AL64" s="615"/>
      <x:c r="AM64" s="615"/>
      <x:c r="AN64" s="616"/>
    </x:row>
    <x:row r="65" spans="1:40" customHeight="1">
      <x:c r="A65" s="287" t="s">
        <x:v>1027</x:v>
      </x:c>
      <x:c r="B65" s="314" t="s">
        <x:v>1512</x:v>
      </x:c>
      <x:c r="C65" s="288" t="s">
        <x:v>2000</x:v>
      </x:c>
      <x:c r="D65" s="20"/>
      <x:c r="E65" s="565" t="s">
        <x:v>2000</x:v>
      </x:c>
      <x:c r="F65" s="278" t="s">
        <x:v>1027</x:v>
      </x:c>
      <x:c r="G65" s="567" t="s">
        <x:v>1512</x:v>
      </x:c>
      <x:c r="H65" s="568" t="s">
        <x:v>223</x:v>
      </x:c>
      <x:c r="I65" s="582">
        <x:v>13009</x:v>
      </x:c>
      <x:c r="K65" s="252" t="s">
        <x:v>606</x:v>
      </x:c>
      <x:c r="L65" s="253" t="s">
        <x:v>708</x:v>
      </x:c>
      <x:c r="M65" s="254" t="s">
        <x:v>29</x:v>
      </x:c>
      <x:c r="O65" s="240" t="s">
        <x:v>762</x:v>
      </x:c>
      <x:c r="P65" s="207" t="s">
        <x:v>850</x:v>
      </x:c>
      <x:c r="R65" s="614"/>
      <x:c r="S65" s="615"/>
      <x:c r="T65" s="615"/>
      <x:c r="U65" s="615" t="s">
        <x:v>1986</x:v>
      </x:c>
      <x:c r="V65" s="615"/>
      <x:c r="W65" s="615"/>
      <x:c r="X65" s="615"/>
      <x:c r="Y65" s="615"/>
      <x:c r="Z65" s="615"/>
      <x:c r="AA65" s="615"/>
      <x:c r="AB65" s="616"/>
      <x:c r="AD65" s="614"/>
      <x:c r="AE65" s="615"/>
      <x:c r="AF65" s="615"/>
      <x:c r="AG65" s="615"/>
      <x:c r="AH65" s="615"/>
      <x:c r="AI65" s="615"/>
      <x:c r="AJ65" s="615"/>
      <x:c r="AK65" s="615"/>
      <x:c r="AL65" s="615"/>
      <x:c r="AM65" s="615"/>
      <x:c r="AN65" s="616"/>
    </x:row>
    <x:row r="66" spans="1:40" customHeight="1">
      <x:c r="A66" s="192" t="s">
        <x:v>1990</x:v>
      </x:c>
      <x:c r="B66" s="315" t="s">
        <x:v>2005</x:v>
      </x:c>
      <x:c r="C66" s="290" t="s">
        <x:v>56</x:v>
      </x:c>
      <x:c r="D66" s="20"/>
      <x:c r="E66" s="560" t="s">
        <x:v>56</x:v>
      </x:c>
      <x:c r="F66" s="274" t="s">
        <x:v>1990</x:v>
      </x:c>
      <x:c r="G66" s="562" t="s">
        <x:v>2005</x:v>
      </x:c>
      <x:c r="H66" s="563" t="s">
        <x:v>215</x:v>
      </x:c>
      <x:c r="I66" s="583" t="s">
        <x:v>1085</x:v>
      </x:c>
      <x:c r="K66" s="252" t="s">
        <x:v>607</x:v>
      </x:c>
      <x:c r="L66" s="253" t="s">
        <x:v>708</x:v>
      </x:c>
      <x:c r="M66" s="254" t="s">
        <x:v>1564</x:v>
      </x:c>
      <x:c r="O66" s="240" t="s">
        <x:v>777</x:v>
      </x:c>
      <x:c r="P66" s="207" t="s">
        <x:v>823</x:v>
      </x:c>
      <x:c r="R66" s="614"/>
      <x:c r="S66" s="615"/>
      <x:c r="T66" s="615"/>
      <x:c r="U66" s="615" t="s">
        <x:v>1966</x:v>
      </x:c>
      <x:c r="V66" s="615"/>
      <x:c r="W66" s="615"/>
      <x:c r="X66" s="615"/>
      <x:c r="Y66" s="615"/>
      <x:c r="Z66" s="615"/>
      <x:c r="AA66" s="615"/>
      <x:c r="AB66" s="616"/>
      <x:c r="AD66" s="614"/>
      <x:c r="AE66" s="615"/>
      <x:c r="AF66" s="615"/>
      <x:c r="AG66" s="615"/>
      <x:c r="AH66" s="615"/>
      <x:c r="AI66" s="615"/>
      <x:c r="AJ66" s="615"/>
      <x:c r="AK66" s="615"/>
      <x:c r="AL66" s="615"/>
      <x:c r="AM66" s="615"/>
      <x:c r="AN66" s="616"/>
    </x:row>
    <x:row r="67" spans="1:40" customHeight="1">
      <x:c r="A67" s="194" t="s">
        <x:v>2014</x:v>
      </x:c>
      <x:c r="B67" s="318" t="s">
        <x:v>2005</x:v>
      </x:c>
      <x:c r="C67" s="283" t="s">
        <x:v>56</x:v>
      </x:c>
      <x:c r="D67" s="20"/>
      <x:c r="E67" s="575" t="s">
        <x:v>56</x:v>
      </x:c>
      <x:c r="F67" s="276" t="s">
        <x:v>2014</x:v>
      </x:c>
      <x:c r="G67" s="577" t="s">
        <x:v>2005</x:v>
      </x:c>
      <x:c r="H67" s="578" t="s">
        <x:v>242</x:v>
      </x:c>
      <x:c r="I67" s="584" t="s">
        <x:v>1087</x:v>
      </x:c>
      <x:c r="K67" s="252" t="s">
        <x:v>624</x:v>
      </x:c>
      <x:c r="L67" s="253" t="s">
        <x:v>708</x:v>
      </x:c>
      <x:c r="M67" s="254" t="s">
        <x:v>609</x:v>
      </x:c>
      <x:c r="O67" s="240" t="s">
        <x:v>787</x:v>
      </x:c>
      <x:c r="P67" s="207" t="s">
        <x:v>831</x:v>
      </x:c>
      <x:c r="R67" s="614"/>
      <x:c r="S67" s="615"/>
      <x:c r="T67" s="615"/>
      <x:c r="U67" s="615" t="s">
        <x:v>1987</x:v>
      </x:c>
      <x:c r="V67" s="615"/>
      <x:c r="W67" s="615"/>
      <x:c r="X67" s="615"/>
      <x:c r="Y67" s="615"/>
      <x:c r="Z67" s="615"/>
      <x:c r="AA67" s="615"/>
      <x:c r="AB67" s="616"/>
      <x:c r="AD67" s="614"/>
      <x:c r="AE67" s="615"/>
      <x:c r="AF67" s="615"/>
      <x:c r="AG67" s="615"/>
      <x:c r="AH67" s="615"/>
      <x:c r="AI67" s="615"/>
      <x:c r="AJ67" s="615"/>
      <x:c r="AK67" s="615"/>
      <x:c r="AL67" s="615"/>
      <x:c r="AM67" s="615"/>
      <x:c r="AN67" s="616"/>
    </x:row>
    <x:row r="68" spans="1:40" customHeight="1">
      <x:c r="A68" s="284" t="s">
        <x:v>2011</x:v>
      </x:c>
      <x:c r="B68" s="318" t="s">
        <x:v>2005</x:v>
      </x:c>
      <x:c r="C68" s="283" t="s">
        <x:v>56</x:v>
      </x:c>
      <x:c r="D68" s="20"/>
      <x:c r="E68" s="575" t="s">
        <x:v>56</x:v>
      </x:c>
      <x:c r="F68" s="276" t="s">
        <x:v>2011</x:v>
      </x:c>
      <x:c r="G68" s="577" t="s">
        <x:v>2005</x:v>
      </x:c>
      <x:c r="H68" s="578" t="s">
        <x:v>219</x:v>
      </x:c>
      <x:c r="I68" s="584" t="s">
        <x:v>1092</x:v>
      </x:c>
      <x:c r="K68" s="252" t="s">
        <x:v>617</x:v>
      </x:c>
      <x:c r="L68" s="253" t="s">
        <x:v>708</x:v>
      </x:c>
      <x:c r="M68" s="254" t="s">
        <x:v>125</x:v>
      </x:c>
      <x:c r="O68" s="240" t="s">
        <x:v>788</x:v>
      </x:c>
      <x:c r="P68" s="207" t="s">
        <x:v>1487</x:v>
      </x:c>
      <x:c r="R68" s="614"/>
      <x:c r="S68" s="615"/>
      <x:c r="T68" s="615"/>
      <x:c r="U68" s="615" t="s">
        <x:v>1988</x:v>
      </x:c>
      <x:c r="V68" s="615"/>
      <x:c r="W68" s="615"/>
      <x:c r="X68" s="615"/>
      <x:c r="Y68" s="615"/>
      <x:c r="Z68" s="615"/>
      <x:c r="AA68" s="615"/>
      <x:c r="AB68" s="616"/>
      <x:c r="AD68" s="614"/>
      <x:c r="AE68" s="615"/>
      <x:c r="AF68" s="615"/>
      <x:c r="AG68" s="615"/>
      <x:c r="AH68" s="615"/>
      <x:c r="AI68" s="615"/>
      <x:c r="AJ68" s="615"/>
      <x:c r="AK68" s="615"/>
      <x:c r="AL68" s="615"/>
      <x:c r="AM68" s="615"/>
      <x:c r="AN68" s="616"/>
    </x:row>
    <x:row r="69" spans="1:40" customHeight="1">
      <x:c r="A69" s="284" t="s">
        <x:v>506</x:v>
      </x:c>
      <x:c r="B69" s="318" t="s">
        <x:v>2005</x:v>
      </x:c>
      <x:c r="C69" s="283" t="s">
        <x:v>56</x:v>
      </x:c>
      <x:c r="D69" s="20"/>
      <x:c r="E69" s="575" t="s">
        <x:v>56</x:v>
      </x:c>
      <x:c r="F69" s="276" t="s">
        <x:v>506</x:v>
      </x:c>
      <x:c r="G69" s="577" t="s">
        <x:v>2005</x:v>
      </x:c>
      <x:c r="H69" s="578" t="s">
        <x:v>221</x:v>
      </x:c>
      <x:c r="I69" s="584" t="s">
        <x:v>1106</x:v>
      </x:c>
      <x:c r="K69" s="252" t="s">
        <x:v>625</x:v>
      </x:c>
      <x:c r="L69" s="253" t="s">
        <x:v>708</x:v>
      </x:c>
      <x:c r="M69" s="254" t="s">
        <x:v>626</x:v>
      </x:c>
      <x:c r="O69" s="240" t="s">
        <x:v>900</x:v>
      </x:c>
      <x:c r="P69" s="207" t="s">
        <x:v>1634</x:v>
      </x:c>
      <x:c r="R69" s="614"/>
      <x:c r="S69" s="615"/>
      <x:c r="T69" s="615"/>
      <x:c r="U69" s="615" t="s">
        <x:v>1964</x:v>
      </x:c>
      <x:c r="V69" s="615"/>
      <x:c r="W69" s="615"/>
      <x:c r="X69" s="615"/>
      <x:c r="Y69" s="615"/>
      <x:c r="Z69" s="615"/>
      <x:c r="AA69" s="615"/>
      <x:c r="AB69" s="616"/>
      <x:c r="AD69" s="614"/>
      <x:c r="AE69" s="615"/>
      <x:c r="AF69" s="615"/>
      <x:c r="AG69" s="615"/>
      <x:c r="AH69" s="615"/>
      <x:c r="AI69" s="615"/>
      <x:c r="AJ69" s="615"/>
      <x:c r="AK69" s="615"/>
      <x:c r="AL69" s="615"/>
      <x:c r="AM69" s="615"/>
      <x:c r="AN69" s="616"/>
    </x:row>
    <x:row r="70" spans="1:40" customHeight="1">
      <x:c r="A70" s="284" t="s">
        <x:v>1536</x:v>
      </x:c>
      <x:c r="B70" s="318" t="s">
        <x:v>2005</x:v>
      </x:c>
      <x:c r="C70" s="283" t="s">
        <x:v>56</x:v>
      </x:c>
      <x:c r="D70" s="20"/>
      <x:c r="E70" s="575" t="s">
        <x:v>56</x:v>
      </x:c>
      <x:c r="F70" s="276" t="s">
        <x:v>1536</x:v>
      </x:c>
      <x:c r="G70" s="577" t="s">
        <x:v>2005</x:v>
      </x:c>
      <x:c r="H70" s="578" t="s">
        <x:v>241</x:v>
      </x:c>
      <x:c r="I70" s="584" t="s">
        <x:v>1131</x:v>
      </x:c>
      <x:c r="K70" s="252" t="s">
        <x:v>628</x:v>
      </x:c>
      <x:c r="L70" s="253" t="s">
        <x:v>708</x:v>
      </x:c>
      <x:c r="M70" s="254" t="s">
        <x:v>615</x:v>
      </x:c>
      <x:c r="O70" s="240" t="s">
        <x:v>789</x:v>
      </x:c>
      <x:c r="P70" s="207" t="s">
        <x:v>146</x:v>
      </x:c>
      <x:c r="R70" s="614"/>
      <x:c r="S70" s="615"/>
      <x:c r="T70" s="615"/>
      <x:c r="U70" s="615" t="s">
        <x:v>1989</x:v>
      </x:c>
      <x:c r="V70" s="615"/>
      <x:c r="W70" s="615"/>
      <x:c r="X70" s="615"/>
      <x:c r="Y70" s="615"/>
      <x:c r="Z70" s="615"/>
      <x:c r="AA70" s="615"/>
      <x:c r="AB70" s="616"/>
      <x:c r="AD70" s="614"/>
      <x:c r="AE70" s="615"/>
      <x:c r="AF70" s="615"/>
      <x:c r="AG70" s="615"/>
      <x:c r="AH70" s="615"/>
      <x:c r="AI70" s="615"/>
      <x:c r="AJ70" s="615"/>
      <x:c r="AK70" s="615"/>
      <x:c r="AL70" s="615"/>
      <x:c r="AM70" s="615"/>
      <x:c r="AN70" s="616"/>
    </x:row>
    <x:row r="71" spans="1:40" customHeight="1">
      <x:c r="A71" s="284" t="s">
        <x:v>1511</x:v>
      </x:c>
      <x:c r="B71" s="318" t="s">
        <x:v>2005</x:v>
      </x:c>
      <x:c r="C71" s="283" t="s">
        <x:v>56</x:v>
      </x:c>
      <x:c r="D71" s="20"/>
      <x:c r="E71" s="575" t="s">
        <x:v>56</x:v>
      </x:c>
      <x:c r="F71" s="276" t="s">
        <x:v>1511</x:v>
      </x:c>
      <x:c r="G71" s="577" t="s">
        <x:v>2005</x:v>
      </x:c>
      <x:c r="H71" s="578" t="s">
        <x:v>229</x:v>
      </x:c>
      <x:c r="I71" s="584" t="s">
        <x:v>1121</x:v>
      </x:c>
      <x:c r="K71" s="252" t="s">
        <x:v>627</x:v>
      </x:c>
      <x:c r="L71" s="253" t="s">
        <x:v>708</x:v>
      </x:c>
      <x:c r="M71" s="254" t="s">
        <x:v>616</x:v>
      </x:c>
      <x:c r="O71" s="240" t="s">
        <x:v>901</x:v>
      </x:c>
      <x:c r="P71" s="207" t="s">
        <x:v>849</x:v>
      </x:c>
      <x:c r="R71" s="614"/>
      <x:c r="S71" s="615"/>
      <x:c r="T71" s="615"/>
      <x:c r="U71" s="615" t="s">
        <x:v>1958</x:v>
      </x:c>
      <x:c r="V71" s="615"/>
      <x:c r="W71" s="615"/>
      <x:c r="X71" s="615"/>
      <x:c r="Y71" s="615"/>
      <x:c r="Z71" s="615"/>
      <x:c r="AA71" s="615"/>
      <x:c r="AB71" s="616"/>
      <x:c r="AD71" s="614"/>
      <x:c r="AE71" s="615"/>
      <x:c r="AF71" s="615"/>
      <x:c r="AG71" s="615"/>
      <x:c r="AH71" s="615"/>
      <x:c r="AI71" s="615"/>
      <x:c r="AJ71" s="615"/>
      <x:c r="AK71" s="615"/>
      <x:c r="AL71" s="615"/>
      <x:c r="AM71" s="615"/>
      <x:c r="AN71" s="616"/>
    </x:row>
    <x:row r="72" spans="1:40" customHeight="1">
      <x:c r="A72" s="296" t="s">
        <x:v>2013</x:v>
      </x:c>
      <x:c r="B72" s="316" t="s">
        <x:v>2005</x:v>
      </x:c>
      <x:c r="C72" s="291" t="s">
        <x:v>56</x:v>
      </x:c>
      <x:c r="D72" s="20"/>
      <x:c r="E72" s="565" t="s">
        <x:v>56</x:v>
      </x:c>
      <x:c r="F72" s="566" t="s">
        <x:v>2013</x:v>
      </x:c>
      <x:c r="G72" s="567" t="s">
        <x:v>2005</x:v>
      </x:c>
      <x:c r="H72" s="568" t="s">
        <x:v>222</x:v>
      </x:c>
      <x:c r="I72" s="569" t="s">
        <x:v>1132</x:v>
      </x:c>
      <x:c r="K72" s="252" t="s">
        <x:v>618</x:v>
      </x:c>
      <x:c r="L72" s="253" t="s">
        <x:v>708</x:v>
      </x:c>
      <x:c r="M72" s="254" t="s">
        <x:v>1655</x:v>
      </x:c>
      <x:c r="O72" s="240"/>
      <x:c r="P72" s="205" t="s">
        <x:v>1624</x:v>
      </x:c>
      <x:c r="R72" s="614"/>
      <x:c r="S72" s="615"/>
      <x:c r="T72" s="615"/>
      <x:c r="U72" s="615" t="s">
        <x:v>1959</x:v>
      </x:c>
      <x:c r="V72" s="615"/>
      <x:c r="W72" s="615"/>
      <x:c r="X72" s="615"/>
      <x:c r="Y72" s="615"/>
      <x:c r="Z72" s="615"/>
      <x:c r="AA72" s="615"/>
      <x:c r="AB72" s="616"/>
      <x:c r="AD72" s="614"/>
      <x:c r="AE72" s="615"/>
      <x:c r="AF72" s="615"/>
      <x:c r="AG72" s="615"/>
      <x:c r="AH72" s="615"/>
      <x:c r="AI72" s="615"/>
      <x:c r="AJ72" s="615"/>
      <x:c r="AK72" s="615"/>
      <x:c r="AL72" s="615"/>
      <x:c r="AM72" s="615"/>
      <x:c r="AN72" s="616"/>
    </x:row>
    <x:row r="73" spans="1:40" customHeight="1">
      <x:c r="A73" s="297" t="s">
        <x:v>514</x:v>
      </x:c>
      <x:c r="B73" s="315" t="s">
        <x:v>1535</x:v>
      </x:c>
      <x:c r="C73" s="290" t="s">
        <x:v>987</x:v>
      </x:c>
      <x:c r="D73" s="20"/>
      <x:c r="E73" s="560" t="s">
        <x:v>987</x:v>
      </x:c>
      <x:c r="F73" s="561" t="s">
        <x:v>514</x:v>
      </x:c>
      <x:c r="G73" s="562" t="s">
        <x:v>1535</x:v>
      </x:c>
      <x:c r="H73" s="563" t="s">
        <x:v>243</x:v>
      </x:c>
      <x:c r="I73" s="564" t="s">
        <x:v>1137</x:v>
      </x:c>
      <x:c r="K73" s="252" t="s">
        <x:v>620</x:v>
      </x:c>
      <x:c r="L73" s="253" t="s">
        <x:v>708</x:v>
      </x:c>
      <x:c r="M73" s="254" t="s">
        <x:v>1562</x:v>
      </x:c>
      <x:c r="O73" s="240"/>
      <x:c r="P73" s="206" t="s">
        <x:v>739</x:v>
      </x:c>
      <x:c r="R73" s="614"/>
      <x:c r="S73" s="615"/>
      <x:c r="T73" s="615"/>
      <x:c r="U73" s="615" t="s">
        <x:v>1965</x:v>
      </x:c>
      <x:c r="V73" s="615"/>
      <x:c r="W73" s="615"/>
      <x:c r="X73" s="615"/>
      <x:c r="Y73" s="615"/>
      <x:c r="Z73" s="615"/>
      <x:c r="AA73" s="615"/>
      <x:c r="AB73" s="616"/>
      <x:c r="AD73" s="614"/>
      <x:c r="AE73" s="615"/>
      <x:c r="AF73" s="615"/>
      <x:c r="AG73" s="615"/>
      <x:c r="AH73" s="615"/>
      <x:c r="AI73" s="615"/>
      <x:c r="AJ73" s="615"/>
      <x:c r="AK73" s="615"/>
      <x:c r="AL73" s="615"/>
      <x:c r="AM73" s="615"/>
      <x:c r="AN73" s="616"/>
    </x:row>
    <x:row r="74" spans="1:40" customHeight="1">
      <x:c r="A74" s="284" t="s">
        <x:v>952</x:v>
      </x:c>
      <x:c r="B74" s="318" t="s">
        <x:v>1535</x:v>
      </x:c>
      <x:c r="C74" s="283" t="s">
        <x:v>987</x:v>
      </x:c>
      <x:c r="D74" s="20"/>
      <x:c r="E74" s="575" t="s">
        <x:v>987</x:v>
      </x:c>
      <x:c r="F74" s="576" t="s">
        <x:v>952</x:v>
      </x:c>
      <x:c r="G74" s="577" t="s">
        <x:v>1535</x:v>
      </x:c>
      <x:c r="H74" s="578" t="s">
        <x:v>231</x:v>
      </x:c>
      <x:c r="I74" s="579" t="s">
        <x:v>1114</x:v>
      </x:c>
      <x:c r="K74" s="261" t="s">
        <x:v>629</x:v>
      </x:c>
      <x:c r="L74" s="262" t="s">
        <x:v>708</x:v>
      </x:c>
      <x:c r="M74" s="263" t="s">
        <x:v>1563</x:v>
      </x:c>
      <x:c r="O74" s="240" t="s">
        <x:v>770</x:v>
      </x:c>
      <x:c r="P74" s="207" t="s">
        <x:v>135</x:v>
      </x:c>
      <x:c r="R74" s="614"/>
      <x:c r="S74" s="615"/>
      <x:c r="T74" s="615"/>
      <x:c r="U74" s="615" t="s">
        <x:v>1967</x:v>
      </x:c>
      <x:c r="V74" s="615"/>
      <x:c r="W74" s="615"/>
      <x:c r="X74" s="615"/>
      <x:c r="Y74" s="615"/>
      <x:c r="Z74" s="615"/>
      <x:c r="AA74" s="615"/>
      <x:c r="AB74" s="616"/>
      <x:c r="AD74" s="614"/>
      <x:c r="AE74" s="615"/>
      <x:c r="AF74" s="615"/>
      <x:c r="AG74" s="615"/>
      <x:c r="AH74" s="615"/>
      <x:c r="AI74" s="615"/>
      <x:c r="AJ74" s="615"/>
      <x:c r="AK74" s="615"/>
      <x:c r="AL74" s="615"/>
      <x:c r="AM74" s="615"/>
      <x:c r="AN74" s="616"/>
    </x:row>
    <x:row r="75" spans="1:40" customHeight="1">
      <x:c r="A75" s="193" t="s">
        <x:v>523</x:v>
      </x:c>
      <x:c r="B75" s="316" t="s">
        <x:v>1535</x:v>
      </x:c>
      <x:c r="C75" s="291" t="s">
        <x:v>987</x:v>
      </x:c>
      <x:c r="D75" s="20"/>
      <x:c r="E75" s="565" t="s">
        <x:v>987</x:v>
      </x:c>
      <x:c r="F75" s="566" t="s">
        <x:v>523</x:v>
      </x:c>
      <x:c r="G75" s="567" t="s">
        <x:v>1535</x:v>
      </x:c>
      <x:c r="H75" s="568" t="s">
        <x:v>244</x:v>
      </x:c>
      <x:c r="I75" s="569" t="s">
        <x:v>1130</x:v>
      </x:c>
      <x:c r="K75" s="249" t="s">
        <x:v>621</x:v>
      </x:c>
      <x:c r="L75" s="250" t="s">
        <x:v>1571</x:v>
      </x:c>
      <x:c r="M75" s="251" t="s">
        <x:v>30</x:v>
      </x:c>
      <x:c r="O75" s="240"/>
      <x:c r="P75" s="206" t="s">
        <x:v>1592</x:v>
      </x:c>
      <x:c r="R75" s="614"/>
      <x:c r="S75" s="615"/>
      <x:c r="T75" s="615"/>
      <x:c r="U75" s="615" t="s">
        <x:v>492</x:v>
      </x:c>
      <x:c r="V75" s="615"/>
      <x:c r="W75" s="615"/>
      <x:c r="X75" s="615"/>
      <x:c r="Y75" s="615"/>
      <x:c r="Z75" s="615"/>
      <x:c r="AA75" s="615"/>
      <x:c r="AB75" s="616"/>
      <x:c r="AD75" s="614"/>
      <x:c r="AE75" s="615"/>
      <x:c r="AF75" s="615"/>
      <x:c r="AG75" s="615"/>
      <x:c r="AH75" s="615"/>
      <x:c r="AI75" s="615"/>
      <x:c r="AJ75" s="615"/>
      <x:c r="AK75" s="615"/>
      <x:c r="AL75" s="615"/>
      <x:c r="AM75" s="615"/>
      <x:c r="AN75" s="616"/>
    </x:row>
    <x:row r="76" spans="1:40" customHeight="1">
      <x:c r="A76" s="193" t="s">
        <x:v>1028</x:v>
      </x:c>
      <x:c r="B76" s="316" t="s">
        <x:v>1535</x:v>
      </x:c>
      <x:c r="C76" s="291" t="s">
        <x:v>1028</x:v>
      </x:c>
      <x:c r="D76" s="20"/>
      <x:c r="E76" s="560" t="s">
        <x:v>1028</x:v>
      </x:c>
      <x:c r="F76" s="561" t="s">
        <x:v>1028</x:v>
      </x:c>
      <x:c r="G76" s="562" t="s">
        <x:v>1535</x:v>
      </x:c>
      <x:c r="H76" s="563" t="s">
        <x:v>228</x:v>
      </x:c>
      <x:c r="I76" s="564" t="s">
        <x:v>1120</x:v>
      </x:c>
      <x:c r="K76" s="252" t="s">
        <x:v>636</x:v>
      </x:c>
      <x:c r="L76" s="253" t="s">
        <x:v>1571</x:v>
      </x:c>
      <x:c r="M76" s="254" t="s">
        <x:v>633</x:v>
      </x:c>
      <x:c r="O76" s="240" t="s">
        <x:v>759</x:v>
      </x:c>
      <x:c r="P76" s="207" t="s">
        <x:v>848</x:v>
      </x:c>
      <x:c r="R76" s="614"/>
      <x:c r="S76" s="615"/>
      <x:c r="T76" s="615"/>
      <x:c r="U76" s="615" t="s">
        <x:v>495</x:v>
      </x:c>
      <x:c r="V76" s="615"/>
      <x:c r="W76" s="615"/>
      <x:c r="X76" s="615"/>
      <x:c r="Y76" s="615"/>
      <x:c r="Z76" s="615"/>
      <x:c r="AA76" s="615"/>
      <x:c r="AB76" s="616"/>
      <x:c r="AD76" s="614"/>
      <x:c r="AE76" s="615"/>
      <x:c r="AF76" s="615"/>
      <x:c r="AG76" s="615"/>
      <x:c r="AH76" s="615"/>
      <x:c r="AI76" s="615"/>
      <x:c r="AJ76" s="615"/>
      <x:c r="AK76" s="615"/>
      <x:c r="AL76" s="615"/>
      <x:c r="AM76" s="615"/>
      <x:c r="AN76" s="616"/>
    </x:row>
    <x:row r="77" spans="1:40" customHeight="1">
      <x:c r="A77" s="192" t="s">
        <x:v>475</x:v>
      </x:c>
      <x:c r="B77" s="315" t="s">
        <x:v>1535</x:v>
      </x:c>
      <x:c r="C77" s="290" t="s">
        <x:v>2027</x:v>
      </x:c>
      <x:c r="D77" s="20"/>
      <x:c r="E77" s="560" t="s">
        <x:v>2027</x:v>
      </x:c>
      <x:c r="F77" s="561" t="s">
        <x:v>475</x:v>
      </x:c>
      <x:c r="G77" s="562" t="s">
        <x:v>1535</x:v>
      </x:c>
      <x:c r="H77" s="563" t="s">
        <x:v>224</x:v>
      </x:c>
      <x:c r="I77" s="564" t="s">
        <x:v>1117</x:v>
      </x:c>
      <x:c r="K77" s="252" t="s">
        <x:v>639</x:v>
      </x:c>
      <x:c r="L77" s="253" t="s">
        <x:v>1571</x:v>
      </x:c>
      <x:c r="M77" s="254" t="s">
        <x:v>34</x:v>
      </x:c>
      <x:c r="O77" s="240"/>
      <x:c r="P77" s="206" t="s">
        <x:v>731</x:v>
      </x:c>
      <x:c r="R77" s="614"/>
      <x:c r="S77" s="615"/>
      <x:c r="T77" s="615"/>
      <x:c r="U77" s="615" t="s">
        <x:v>922</x:v>
      </x:c>
      <x:c r="V77" s="615"/>
      <x:c r="W77" s="615"/>
      <x:c r="X77" s="615"/>
      <x:c r="Y77" s="615"/>
      <x:c r="Z77" s="615"/>
      <x:c r="AA77" s="615"/>
      <x:c r="AB77" s="616"/>
      <x:c r="AD77" s="614"/>
      <x:c r="AE77" s="615"/>
      <x:c r="AF77" s="615"/>
      <x:c r="AG77" s="615"/>
      <x:c r="AH77" s="615"/>
      <x:c r="AI77" s="615"/>
      <x:c r="AJ77" s="615"/>
      <x:c r="AK77" s="615"/>
      <x:c r="AL77" s="615"/>
      <x:c r="AM77" s="615"/>
      <x:c r="AN77" s="616"/>
    </x:row>
    <x:row r="78" spans="1:40" customHeight="1">
      <x:c r="A78" s="194" t="s">
        <x:v>1010</x:v>
      </x:c>
      <x:c r="B78" s="318" t="s">
        <x:v>1535</x:v>
      </x:c>
      <x:c r="C78" s="283" t="s">
        <x:v>2027</x:v>
      </x:c>
      <x:c r="D78" s="20"/>
      <x:c r="E78" s="575" t="s">
        <x:v>2027</x:v>
      </x:c>
      <x:c r="F78" s="276" t="s">
        <x:v>1010</x:v>
      </x:c>
      <x:c r="G78" s="577" t="s">
        <x:v>1535</x:v>
      </x:c>
      <x:c r="H78" s="578" t="s">
        <x:v>216</x:v>
      </x:c>
      <x:c r="I78" s="579" t="s">
        <x:v>1112</x:v>
      </x:c>
      <x:c r="K78" s="252" t="s">
        <x:v>634</x:v>
      </x:c>
      <x:c r="L78" s="253" t="s">
        <x:v>1571</x:v>
      </x:c>
      <x:c r="M78" s="254" t="s">
        <x:v>33</x:v>
      </x:c>
      <x:c r="O78" s="240" t="s">
        <x:v>766</x:v>
      </x:c>
      <x:c r="P78" s="207" t="s">
        <x:v>122</x:v>
      </x:c>
      <x:c r="R78" s="614"/>
      <x:c r="S78" s="615"/>
      <x:c r="T78" s="615"/>
      <x:c r="U78" s="615" t="s">
        <x:v>26</x:v>
      </x:c>
      <x:c r="V78" s="615"/>
      <x:c r="W78" s="615"/>
      <x:c r="X78" s="615"/>
      <x:c r="Y78" s="615"/>
      <x:c r="Z78" s="615"/>
      <x:c r="AA78" s="615"/>
      <x:c r="AB78" s="616"/>
      <x:c r="AD78" s="614"/>
      <x:c r="AE78" s="615"/>
      <x:c r="AF78" s="615"/>
      <x:c r="AG78" s="615"/>
      <x:c r="AH78" s="615"/>
      <x:c r="AI78" s="615"/>
      <x:c r="AJ78" s="615"/>
      <x:c r="AK78" s="615"/>
      <x:c r="AL78" s="615"/>
      <x:c r="AM78" s="615"/>
      <x:c r="AN78" s="616"/>
    </x:row>
    <x:row r="79" spans="1:40" customHeight="1">
      <x:c r="A79" s="194" t="s">
        <x:v>2023</x:v>
      </x:c>
      <x:c r="B79" s="318" t="s">
        <x:v>1535</x:v>
      </x:c>
      <x:c r="C79" s="283" t="s">
        <x:v>2027</x:v>
      </x:c>
      <x:c r="D79" s="20"/>
      <x:c r="E79" s="575" t="s">
        <x:v>2027</x:v>
      </x:c>
      <x:c r="F79" s="576" t="s">
        <x:v>2023</x:v>
      </x:c>
      <x:c r="G79" s="577" t="s">
        <x:v>1535</x:v>
      </x:c>
      <x:c r="H79" s="578" t="s">
        <x:v>218</x:v>
      </x:c>
      <x:c r="I79" s="579" t="s">
        <x:v>1118</x:v>
      </x:c>
      <x:c r="K79" s="252" t="s">
        <x:v>653</x:v>
      </x:c>
      <x:c r="L79" s="253" t="s">
        <x:v>1571</x:v>
      </x:c>
      <x:c r="M79" s="254" t="s">
        <x:v>35</x:v>
      </x:c>
      <x:c r="O79" s="240"/>
      <x:c r="P79" s="206" t="s">
        <x:v>732</x:v>
      </x:c>
      <x:c r="R79" s="614"/>
      <x:c r="S79" s="615"/>
      <x:c r="T79" s="615"/>
      <x:c r="U79" s="615" t="s">
        <x:v>940</x:v>
      </x:c>
      <x:c r="V79" s="615"/>
      <x:c r="W79" s="615"/>
      <x:c r="X79" s="615"/>
      <x:c r="Y79" s="615"/>
      <x:c r="Z79" s="615"/>
      <x:c r="AA79" s="615"/>
      <x:c r="AB79" s="616"/>
      <x:c r="AD79" s="614"/>
      <x:c r="AE79" s="615"/>
      <x:c r="AF79" s="615"/>
      <x:c r="AG79" s="615"/>
      <x:c r="AH79" s="615"/>
      <x:c r="AI79" s="615"/>
      <x:c r="AJ79" s="615"/>
      <x:c r="AK79" s="615"/>
      <x:c r="AL79" s="615"/>
      <x:c r="AM79" s="615"/>
      <x:c r="AN79" s="616"/>
    </x:row>
    <x:row r="80" spans="1:40" customHeight="1">
      <x:c r="A80" s="194" t="s">
        <x:v>507</x:v>
      </x:c>
      <x:c r="B80" s="318" t="s">
        <x:v>1535</x:v>
      </x:c>
      <x:c r="C80" s="283" t="s">
        <x:v>2027</x:v>
      </x:c>
      <x:c r="D80" s="20"/>
      <x:c r="E80" s="575" t="s">
        <x:v>2027</x:v>
      </x:c>
      <x:c r="F80" s="576" t="s">
        <x:v>507</x:v>
      </x:c>
      <x:c r="G80" s="577" t="s">
        <x:v>1535</x:v>
      </x:c>
      <x:c r="H80" s="578" t="s">
        <x:v>227</x:v>
      </x:c>
      <x:c r="I80" s="579" t="s">
        <x:v>1119</x:v>
      </x:c>
      <x:c r="K80" s="252" t="s">
        <x:v>635</x:v>
      </x:c>
      <x:c r="L80" s="253" t="s">
        <x:v>1571</x:v>
      </x:c>
      <x:c r="M80" s="254" t="s">
        <x:v>36</x:v>
      </x:c>
      <x:c r="O80" s="240" t="s">
        <x:v>767</x:v>
      </x:c>
      <x:c r="P80" s="207" t="s">
        <x:v>838</x:v>
      </x:c>
      <x:c r="R80" s="614"/>
      <x:c r="S80" s="615"/>
      <x:c r="T80" s="615"/>
      <x:c r="U80" s="615" t="s">
        <x:v>23</x:v>
      </x:c>
      <x:c r="V80" s="615"/>
      <x:c r="W80" s="615"/>
      <x:c r="X80" s="615"/>
      <x:c r="Y80" s="615"/>
      <x:c r="Z80" s="615"/>
      <x:c r="AA80" s="615"/>
      <x:c r="AB80" s="616"/>
      <x:c r="AD80" s="614"/>
      <x:c r="AE80" s="615"/>
      <x:c r="AF80" s="615"/>
      <x:c r="AG80" s="615"/>
      <x:c r="AH80" s="615"/>
      <x:c r="AI80" s="615"/>
      <x:c r="AJ80" s="615"/>
      <x:c r="AK80" s="615"/>
      <x:c r="AL80" s="615"/>
      <x:c r="AM80" s="615"/>
      <x:c r="AN80" s="616"/>
    </x:row>
    <x:row r="81" spans="1:40" customHeight="1">
      <x:c r="A81" s="284" t="s">
        <x:v>928</x:v>
      </x:c>
      <x:c r="B81" s="318" t="s">
        <x:v>1535</x:v>
      </x:c>
      <x:c r="C81" s="283" t="s">
        <x:v>2027</x:v>
      </x:c>
      <x:c r="D81" s="20"/>
      <x:c r="E81" s="575" t="s">
        <x:v>2027</x:v>
      </x:c>
      <x:c r="F81" s="576" t="s">
        <x:v>928</x:v>
      </x:c>
      <x:c r="G81" s="577" t="s">
        <x:v>1535</x:v>
      </x:c>
      <x:c r="H81" s="578" t="s">
        <x:v>233</x:v>
      </x:c>
      <x:c r="I81" s="579" t="s">
        <x:v>1108</x:v>
      </x:c>
      <x:c r="K81" s="252" t="s">
        <x:v>658</x:v>
      </x:c>
      <x:c r="L81" s="253" t="s">
        <x:v>1571</x:v>
      </x:c>
      <x:c r="M81" s="254" t="s">
        <x:v>1504</x:v>
      </x:c>
      <x:c r="O81" s="240" t="s">
        <x:v>760</x:v>
      </x:c>
      <x:c r="P81" s="207" t="s">
        <x:v>840</x:v>
      </x:c>
      <x:c r="R81" s="614"/>
      <x:c r="S81" s="615"/>
      <x:c r="T81" s="615"/>
      <x:c r="U81" s="615"/>
      <x:c r="V81" s="615"/>
      <x:c r="W81" s="615"/>
      <x:c r="X81" s="615"/>
      <x:c r="Y81" s="615"/>
      <x:c r="Z81" s="615"/>
      <x:c r="AA81" s="615"/>
      <x:c r="AB81" s="616"/>
      <x:c r="AD81" s="614"/>
      <x:c r="AE81" s="615"/>
      <x:c r="AF81" s="615"/>
      <x:c r="AG81" s="615"/>
      <x:c r="AH81" s="615"/>
      <x:c r="AI81" s="615"/>
      <x:c r="AJ81" s="615"/>
      <x:c r="AK81" s="615"/>
      <x:c r="AL81" s="615"/>
      <x:c r="AM81" s="615"/>
      <x:c r="AN81" s="616"/>
    </x:row>
    <x:row r="82" spans="1:40" customHeight="1">
      <x:c r="A82" s="287" t="s">
        <x:v>2025</x:v>
      </x:c>
      <x:c r="B82" s="314" t="s">
        <x:v>1535</x:v>
      </x:c>
      <x:c r="C82" s="288" t="s">
        <x:v>2027</x:v>
      </x:c>
      <x:c r="D82" s="20"/>
      <x:c r="E82" s="565" t="s">
        <x:v>2027</x:v>
      </x:c>
      <x:c r="F82" s="566" t="s">
        <x:v>2025</x:v>
      </x:c>
      <x:c r="G82" s="567" t="s">
        <x:v>1535</x:v>
      </x:c>
      <x:c r="H82" s="568" t="s">
        <x:v>237</x:v>
      </x:c>
      <x:c r="I82" s="569" t="s">
        <x:v>1116</x:v>
      </x:c>
      <x:c r="K82" s="252" t="s">
        <x:v>637</x:v>
      </x:c>
      <x:c r="L82" s="253" t="s">
        <x:v>1571</x:v>
      </x:c>
      <x:c r="M82" s="254" t="s">
        <x:v>37</x:v>
      </x:c>
      <x:c r="O82" s="240"/>
      <x:c r="P82" s="206" t="s">
        <x:v>750</x:v>
      </x:c>
      <x:c r="R82" s="617"/>
      <x:c r="S82" s="618"/>
      <x:c r="T82" s="618"/>
      <x:c r="U82" s="618"/>
      <x:c r="V82" s="618"/>
      <x:c r="W82" s="618"/>
      <x:c r="X82" s="618"/>
      <x:c r="Y82" s="618"/>
      <x:c r="Z82" s="615"/>
      <x:c r="AA82" s="618"/>
      <x:c r="AB82" s="619"/>
      <x:c r="AD82" s="617"/>
      <x:c r="AE82" s="618"/>
      <x:c r="AF82" s="618"/>
      <x:c r="AG82" s="618"/>
      <x:c r="AH82" s="618"/>
      <x:c r="AI82" s="618"/>
      <x:c r="AJ82" s="618"/>
      <x:c r="AK82" s="618"/>
      <x:c r="AL82" s="618"/>
      <x:c r="AM82" s="618"/>
      <x:c r="AN82" s="619"/>
    </x:row>
    <x:row r="83" spans="1:26" customHeight="1">
      <x:c r="A83" s="192" t="s">
        <x:v>1934</x:v>
      </x:c>
      <x:c r="B83" s="315" t="s">
        <x:v>1937</x:v>
      </x:c>
      <x:c r="C83" s="290" t="s">
        <x:v>1953</x:v>
      </x:c>
      <x:c r="D83" s="20"/>
      <x:c r="E83" s="560" t="s">
        <x:v>1953</x:v>
      </x:c>
      <x:c r="F83" s="274" t="s">
        <x:v>1934</x:v>
      </x:c>
      <x:c r="G83" s="562" t="s">
        <x:v>1937</x:v>
      </x:c>
      <x:c r="H83" s="563" t="s">
        <x:v>238</x:v>
      </x:c>
      <x:c r="I83" s="564" t="s">
        <x:v>1113</x:v>
      </x:c>
      <x:c r="K83" s="267" t="s">
        <x:v>638</x:v>
      </x:c>
      <x:c r="L83" s="253" t="s">
        <x:v>1571</x:v>
      </x:c>
      <x:c r="M83" s="199" t="s">
        <x:v>22</x:v>
      </x:c>
      <x:c r="O83" s="240" t="s">
        <x:v>914</x:v>
      </x:c>
      <x:c r="P83" s="207" t="s">
        <x:v>836</x:v>
      </x:c>
      <x:c r="Z83" s="618"/>
    </x:row>
    <x:row r="84" spans="1:16" customHeight="1">
      <x:c r="A84" s="194" t="s">
        <x:v>1957</x:v>
      </x:c>
      <x:c r="B84" s="318" t="s">
        <x:v>1937</x:v>
      </x:c>
      <x:c r="C84" s="283" t="s">
        <x:v>1953</x:v>
      </x:c>
      <x:c r="D84" s="20"/>
      <x:c r="E84" s="575" t="s">
        <x:v>1953</x:v>
      </x:c>
      <x:c r="F84" s="576" t="s">
        <x:v>1957</x:v>
      </x:c>
      <x:c r="G84" s="577" t="s">
        <x:v>1937</x:v>
      </x:c>
      <x:c r="H84" s="578" t="s">
        <x:v>217</x:v>
      </x:c>
      <x:c r="I84" s="579" t="s">
        <x:v>1123</x:v>
      </x:c>
      <x:c r="K84" s="252" t="s">
        <x:v>961</x:v>
      </x:c>
      <x:c r="L84" s="253" t="s">
        <x:v>1571</x:v>
      </x:c>
      <x:c r="M84" s="254" t="s">
        <x:v>1456</x:v>
      </x:c>
      <x:c r="O84" s="240"/>
      <x:c r="P84" s="206" t="s">
        <x:v>736</x:v>
      </x:c>
    </x:row>
    <x:row r="85" spans="1:16" customHeight="1">
      <x:c r="A85" s="194" t="s">
        <x:v>2012</x:v>
      </x:c>
      <x:c r="B85" s="318" t="s">
        <x:v>1937</x:v>
      </x:c>
      <x:c r="C85" s="283" t="s">
        <x:v>1953</x:v>
      </x:c>
      <x:c r="D85" s="20"/>
      <x:c r="E85" s="575" t="s">
        <x:v>1953</x:v>
      </x:c>
      <x:c r="F85" s="576" t="s">
        <x:v>2012</x:v>
      </x:c>
      <x:c r="G85" s="577" t="s">
        <x:v>1937</x:v>
      </x:c>
      <x:c r="H85" s="578" t="s">
        <x:v>225</x:v>
      </x:c>
      <x:c r="I85" s="579" t="s">
        <x:v>1133</x:v>
      </x:c>
      <x:c r="K85" s="252" t="s">
        <x:v>972</x:v>
      </x:c>
      <x:c r="L85" s="253" t="s">
        <x:v>1571</x:v>
      </x:c>
      <x:c r="M85" s="254" t="s">
        <x:v>1464</x:v>
      </x:c>
      <x:c r="O85" s="240" t="s">
        <x:v>763</x:v>
      </x:c>
      <x:c r="P85" s="207" t="s">
        <x:v>134</x:v>
      </x:c>
    </x:row>
    <x:row r="86" spans="1:16" customHeight="1">
      <x:c r="A86" s="284" t="s">
        <x:v>503</x:v>
      </x:c>
      <x:c r="B86" s="318" t="s">
        <x:v>1937</x:v>
      </x:c>
      <x:c r="C86" s="283" t="s">
        <x:v>1953</x:v>
      </x:c>
      <x:c r="D86" s="20"/>
      <x:c r="E86" s="575" t="s">
        <x:v>1953</x:v>
      </x:c>
      <x:c r="F86" s="576" t="s">
        <x:v>503</x:v>
      </x:c>
      <x:c r="G86" s="577" t="s">
        <x:v>1937</x:v>
      </x:c>
      <x:c r="H86" s="578" t="s">
        <x:v>214</x:v>
      </x:c>
      <x:c r="I86" s="579" t="s">
        <x:v>1125</x:v>
      </x:c>
      <x:c r="K86" s="252" t="s">
        <x:v>968</x:v>
      </x:c>
      <x:c r="L86" s="253" t="s">
        <x:v>1571</x:v>
      </x:c>
      <x:c r="M86" s="254" t="s">
        <x:v>71</x:v>
      </x:c>
      <x:c r="O86" s="240"/>
      <x:c r="P86" s="206" t="s">
        <x:v>977</x:v>
      </x:c>
    </x:row>
    <x:row r="87" spans="1:16" customHeight="1">
      <x:c r="A87" s="194" t="s">
        <x:v>948</x:v>
      </x:c>
      <x:c r="B87" s="318" t="s">
        <x:v>1937</x:v>
      </x:c>
      <x:c r="C87" s="283" t="s">
        <x:v>1953</x:v>
      </x:c>
      <x:c r="D87" s="20"/>
      <x:c r="E87" s="575" t="s">
        <x:v>1953</x:v>
      </x:c>
      <x:c r="F87" s="576" t="s">
        <x:v>948</x:v>
      </x:c>
      <x:c r="G87" s="577" t="s">
        <x:v>1937</x:v>
      </x:c>
      <x:c r="H87" s="578" t="s">
        <x:v>234</x:v>
      </x:c>
      <x:c r="I87" s="579" t="s">
        <x:v>1134</x:v>
      </x:c>
      <x:c r="K87" s="252" t="s">
        <x:v>970</x:v>
      </x:c>
      <x:c r="L87" s="253" t="s">
        <x:v>1571</x:v>
      </x:c>
      <x:c r="M87" s="254" t="s">
        <x:v>1642</x:v>
      </x:c>
      <x:c r="O87" s="240" t="s">
        <x:v>962</x:v>
      </x:c>
      <x:c r="P87" s="207" t="s">
        <x:v>137</x:v>
      </x:c>
    </x:row>
    <x:row r="88" spans="1:16" customHeight="1">
      <x:c r="A88" s="193" t="s">
        <x:v>1999</x:v>
      </x:c>
      <x:c r="B88" s="316" t="s">
        <x:v>1937</x:v>
      </x:c>
      <x:c r="C88" s="291" t="s">
        <x:v>1953</x:v>
      </x:c>
      <x:c r="D88" s="20"/>
      <x:c r="E88" s="565" t="s">
        <x:v>1953</x:v>
      </x:c>
      <x:c r="F88" s="566" t="s">
        <x:v>1999</x:v>
      </x:c>
      <x:c r="G88" s="567" t="s">
        <x:v>1937</x:v>
      </x:c>
      <x:c r="H88" s="568" t="s">
        <x:v>240</x:v>
      </x:c>
      <x:c r="I88" s="569" t="s">
        <x:v>1136</x:v>
      </x:c>
      <x:c r="K88" s="255" t="s">
        <x:v>967</x:v>
      </x:c>
      <x:c r="L88" s="256" t="s">
        <x:v>1571</x:v>
      </x:c>
      <x:c r="M88" s="257" t="s">
        <x:v>978</x:v>
      </x:c>
      <x:c r="O88" s="240"/>
      <x:c r="P88" s="443" t="s">
        <x:v>433</x:v>
      </x:c>
    </x:row>
    <x:row r="89" spans="1:16" customHeight="1">
      <x:c r="A89" s="192" t="s">
        <x:v>989</x:v>
      </x:c>
      <x:c r="B89" s="315" t="s">
        <x:v>1938</x:v>
      </x:c>
      <x:c r="C89" s="290" t="s">
        <x:v>1653</x:v>
      </x:c>
      <x:c r="D89" s="20"/>
      <x:c r="E89" s="560" t="s">
        <x:v>1653</x:v>
      </x:c>
      <x:c r="F89" s="561" t="s">
        <x:v>989</x:v>
      </x:c>
      <x:c r="G89" s="562" t="s">
        <x:v>1938</x:v>
      </x:c>
      <x:c r="H89" s="563" t="s">
        <x:v>235</x:v>
      </x:c>
      <x:c r="I89" s="564" t="s">
        <x:v>1110</x:v>
      </x:c>
      <x:c r="K89" s="249" t="s">
        <x:v>640</x:v>
      </x:c>
      <x:c r="L89" s="250" t="s">
        <x:v>130</x:v>
      </x:c>
      <x:c r="M89" s="251" t="s">
        <x:v>38</x:v>
      </x:c>
      <x:c r="O89" s="240"/>
      <x:c r="P89" s="444" t="s">
        <x:v>435</x:v>
      </x:c>
    </x:row>
    <x:row r="90" spans="1:16" customHeight="1">
      <x:c r="A90" s="193" t="s">
        <x:v>990</x:v>
      </x:c>
      <x:c r="B90" s="316" t="s">
        <x:v>1938</x:v>
      </x:c>
      <x:c r="C90" s="291" t="s">
        <x:v>1653</x:v>
      </x:c>
      <x:c r="D90" s="20"/>
      <x:c r="E90" s="565" t="s">
        <x:v>1653</x:v>
      </x:c>
      <x:c r="F90" s="566" t="s">
        <x:v>990</x:v>
      </x:c>
      <x:c r="G90" s="567" t="s">
        <x:v>1938</x:v>
      </x:c>
      <x:c r="H90" s="568" t="s">
        <x:v>236</x:v>
      </x:c>
      <x:c r="I90" s="569" t="s">
        <x:v>1124</x:v>
      </x:c>
      <x:c r="K90" s="261" t="s">
        <x:v>660</x:v>
      </x:c>
      <x:c r="L90" s="262" t="s">
        <x:v>130</x:v>
      </x:c>
      <x:c r="M90" s="263" t="s">
        <x:v>1650</x:v>
      </x:c>
      <x:c r="O90" s="240" t="s">
        <x:v>981</x:v>
      </x:c>
      <x:c r="P90" s="208" t="s">
        <x:v>1022</x:v>
      </x:c>
    </x:row>
    <x:row r="91" spans="1:16" customHeight="1">
      <x:c r="A91" s="192" t="s">
        <x:v>510</x:v>
      </x:c>
      <x:c r="B91" s="315" t="s">
        <x:v>1937</x:v>
      </x:c>
      <x:c r="C91" s="290" t="s">
        <x:v>483</x:v>
      </x:c>
      <x:c r="D91" s="20"/>
      <x:c r="E91" s="560" t="s">
        <x:v>483</x:v>
      </x:c>
      <x:c r="F91" s="561" t="s">
        <x:v>510</x:v>
      </x:c>
      <x:c r="G91" s="562" t="s">
        <x:v>1937</x:v>
      </x:c>
      <x:c r="H91" s="563" t="s">
        <x:v>213</x:v>
      </x:c>
      <x:c r="I91" s="564" t="s">
        <x:v>1122</x:v>
      </x:c>
      <x:c r="K91" s="249" t="s">
        <x:v>641</x:v>
      </x:c>
      <x:c r="L91" s="250" t="s">
        <x:v>698</x:v>
      </x:c>
      <x:c r="M91" s="251" t="s">
        <x:v>642</x:v>
      </x:c>
      <x:c r="O91" s="240"/>
      <x:c r="P91" s="204" t="s">
        <x:v>1589</x:v>
      </x:c>
    </x:row>
    <x:row r="92" spans="1:16" customHeight="1">
      <x:c r="A92" s="194" t="s">
        <x:v>528</x:v>
      </x:c>
      <x:c r="B92" s="318" t="s">
        <x:v>1937</x:v>
      </x:c>
      <x:c r="C92" s="283" t="s">
        <x:v>483</x:v>
      </x:c>
      <x:c r="D92" s="20"/>
      <x:c r="E92" s="575" t="s">
        <x:v>483</x:v>
      </x:c>
      <x:c r="F92" s="576" t="s">
        <x:v>528</x:v>
      </x:c>
      <x:c r="G92" s="577" t="s">
        <x:v>1937</x:v>
      </x:c>
      <x:c r="H92" s="578" t="s">
        <x:v>226</x:v>
      </x:c>
      <x:c r="I92" s="579" t="s">
        <x:v>1129</x:v>
      </x:c>
      <x:c r="K92" s="255" t="s">
        <x:v>648</x:v>
      </x:c>
      <x:c r="L92" s="256" t="s">
        <x:v>698</x:v>
      </x:c>
      <x:c r="M92" s="257" t="s">
        <x:v>649</x:v>
      </x:c>
      <x:c r="O92" s="240"/>
      <x:c r="P92" s="205" t="s">
        <x:v>1587</x:v>
      </x:c>
    </x:row>
    <x:row r="93" spans="1:16" customHeight="1">
      <x:c r="A93" s="287" t="s">
        <x:v>529</x:v>
      </x:c>
      <x:c r="B93" s="314" t="s">
        <x:v>1937</x:v>
      </x:c>
      <x:c r="C93" s="288" t="s">
        <x:v>483</x:v>
      </x:c>
      <x:c r="D93" s="20"/>
      <x:c r="E93" s="565" t="s">
        <x:v>483</x:v>
      </x:c>
      <x:c r="F93" s="566" t="s">
        <x:v>529</x:v>
      </x:c>
      <x:c r="G93" s="567" t="s">
        <x:v>1937</x:v>
      </x:c>
      <x:c r="H93" s="568" t="s">
        <x:v>259</x:v>
      </x:c>
      <x:c r="I93" s="569" t="s">
        <x:v>1127</x:v>
      </x:c>
      <x:c r="K93" s="249" t="s">
        <x:v>630</x:v>
      </x:c>
      <x:c r="L93" s="250" t="s">
        <x:v>1572</x:v>
      </x:c>
      <x:c r="M93" s="251" t="s">
        <x:v>1458</x:v>
      </x:c>
      <x:c r="O93" s="240"/>
      <x:c r="P93" s="206" t="s">
        <x:v>1595</x:v>
      </x:c>
    </x:row>
    <x:row r="94" spans="1:16" customHeight="1">
      <x:c r="A94" s="192" t="s">
        <x:v>482</x:v>
      </x:c>
      <x:c r="B94" s="315" t="s">
        <x:v>519</x:v>
      </x:c>
      <x:c r="C94" s="290" t="s">
        <x:v>88</x:v>
      </x:c>
      <x:c r="D94" s="20"/>
      <x:c r="E94" s="560" t="s">
        <x:v>88</x:v>
      </x:c>
      <x:c r="F94" s="561" t="s">
        <x:v>482</x:v>
      </x:c>
      <x:c r="G94" s="562" t="s">
        <x:v>519</x:v>
      </x:c>
      <x:c r="H94" s="563" t="s">
        <x:v>247</x:v>
      </x:c>
      <x:c r="I94" s="564" t="s">
        <x:v>1111</x:v>
      </x:c>
      <x:c r="K94" s="252" t="s">
        <x:v>643</x:v>
      </x:c>
      <x:c r="L94" s="253" t="s">
        <x:v>1572</x:v>
      </x:c>
      <x:c r="M94" s="254" t="s">
        <x:v>1662</x:v>
      </x:c>
      <x:c r="O94" s="240" t="s">
        <x:v>630</x:v>
      </x:c>
      <x:c r="P94" s="207" t="s">
        <x:v>826</x:v>
      </x:c>
    </x:row>
    <x:row r="95" spans="1:16" customHeight="1">
      <x:c r="A95" s="194" t="s">
        <x:v>515</x:v>
      </x:c>
      <x:c r="B95" s="318" t="s">
        <x:v>519</x:v>
      </x:c>
      <x:c r="C95" s="283" t="s">
        <x:v>88</x:v>
      </x:c>
      <x:c r="D95" s="20"/>
      <x:c r="E95" s="575" t="s">
        <x:v>88</x:v>
      </x:c>
      <x:c r="F95" s="576" t="s">
        <x:v>515</x:v>
      </x:c>
      <x:c r="G95" s="577" t="s">
        <x:v>519</x:v>
      </x:c>
      <x:c r="H95" s="578" t="s">
        <x:v>267</x:v>
      </x:c>
      <x:c r="I95" s="579" t="s">
        <x:v>1126</x:v>
      </x:c>
      <x:c r="K95" s="252" t="s">
        <x:v>644</x:v>
      </x:c>
      <x:c r="L95" s="253" t="s">
        <x:v>1572</x:v>
      </x:c>
      <x:c r="M95" s="254" t="s">
        <x:v>41</x:v>
      </x:c>
      <x:c r="O95" s="240" t="s">
        <x:v>643</x:v>
      </x:c>
      <x:c r="P95" s="207" t="s">
        <x:v>822</x:v>
      </x:c>
    </x:row>
    <x:row r="96" spans="1:16" customHeight="1">
      <x:c r="A96" s="193" t="s">
        <x:v>949</x:v>
      </x:c>
      <x:c r="B96" s="316" t="s">
        <x:v>519</x:v>
      </x:c>
      <x:c r="C96" s="291" t="s">
        <x:v>88</x:v>
      </x:c>
      <x:c r="D96" s="20"/>
      <x:c r="E96" s="565" t="s">
        <x:v>88</x:v>
      </x:c>
      <x:c r="F96" s="566" t="s">
        <x:v>949</x:v>
      </x:c>
      <x:c r="G96" s="567" t="s">
        <x:v>519</x:v>
      </x:c>
      <x:c r="H96" s="568" t="s">
        <x:v>265</x:v>
      </x:c>
      <x:c r="I96" s="569" t="s">
        <x:v>1128</x:v>
      </x:c>
      <x:c r="K96" s="252" t="s">
        <x:v>651</x:v>
      </x:c>
      <x:c r="L96" s="253" t="s">
        <x:v>1572</x:v>
      </x:c>
      <x:c r="M96" s="254" t="s">
        <x:v>47</x:v>
      </x:c>
      <x:c r="O96" s="240" t="s">
        <x:v>644</x:v>
      </x:c>
      <x:c r="P96" s="207" t="s">
        <x:v>830</x:v>
      </x:c>
    </x:row>
    <x:row r="97" spans="1:16" customHeight="1">
      <x:c r="A97" s="192" t="s">
        <x:v>1001</x:v>
      </x:c>
      <x:c r="B97" s="315" t="s">
        <x:v>1535</x:v>
      </x:c>
      <x:c r="C97" s="290" t="s">
        <x:v>999</x:v>
      </x:c>
      <x:c r="D97" s="20"/>
      <x:c r="E97" s="560" t="s">
        <x:v>999</x:v>
      </x:c>
      <x:c r="F97" s="561" t="s">
        <x:v>1001</x:v>
      </x:c>
      <x:c r="G97" s="562" t="s">
        <x:v>1535</x:v>
      </x:c>
      <x:c r="H97" s="563" t="s">
        <x:v>266</x:v>
      </x:c>
      <x:c r="I97" s="564" t="s">
        <x:v>1135</x:v>
      </x:c>
      <x:c r="K97" s="255" t="s">
        <x:v>645</x:v>
      </x:c>
      <x:c r="L97" s="256" t="s">
        <x:v>1572</x:v>
      </x:c>
      <x:c r="M97" s="257" t="s">
        <x:v>39</x:v>
      </x:c>
      <x:c r="O97" s="240" t="s">
        <x:v>651</x:v>
      </x:c>
      <x:c r="P97" s="207" t="s">
        <x:v>832</x:v>
      </x:c>
    </x:row>
    <x:row r="98" spans="1:16" customHeight="1">
      <x:c r="A98" s="193" t="s">
        <x:v>1012</x:v>
      </x:c>
      <x:c r="B98" s="316" t="s">
        <x:v>1535</x:v>
      </x:c>
      <x:c r="C98" s="291" t="s">
        <x:v>999</x:v>
      </x:c>
      <x:c r="D98" s="20"/>
      <x:c r="E98" s="565" t="s">
        <x:v>999</x:v>
      </x:c>
      <x:c r="F98" s="566" t="s">
        <x:v>1012</x:v>
      </x:c>
      <x:c r="G98" s="567" t="s">
        <x:v>1535</x:v>
      </x:c>
      <x:c r="H98" s="568" t="s">
        <x:v>264</x:v>
      </x:c>
      <x:c r="I98" s="569">
        <x:v>20305</x:v>
      </x:c>
      <x:c r="K98" s="249" t="s">
        <x:v>631</x:v>
      </x:c>
      <x:c r="L98" s="250" t="s">
        <x:v>1568</x:v>
      </x:c>
      <x:c r="M98" s="251" t="s">
        <x:v>117</x:v>
      </x:c>
      <x:c r="O98" s="240"/>
      <x:c r="P98" s="205" t="s">
        <x:v>1663</x:v>
      </x:c>
    </x:row>
    <x:row r="99" spans="1:16" customHeight="1">
      <x:c r="A99" s="192" t="s">
        <x:v>992</x:v>
      </x:c>
      <x:c r="B99" s="315" t="s">
        <x:v>1998</x:v>
      </x:c>
      <x:c r="C99" s="290" t="s">
        <x:v>78</x:v>
      </x:c>
      <x:c r="D99" s="20"/>
      <x:c r="E99" s="560" t="s">
        <x:v>78</x:v>
      </x:c>
      <x:c r="F99" s="561" t="s">
        <x:v>992</x:v>
      </x:c>
      <x:c r="G99" s="562" t="s">
        <x:v>1998</x:v>
      </x:c>
      <x:c r="H99" s="563" t="s">
        <x:v>269</x:v>
      </x:c>
      <x:c r="I99" s="564" t="s">
        <x:v>1107</x:v>
      </x:c>
      <x:c r="K99" s="252" t="s">
        <x:v>661</x:v>
      </x:c>
      <x:c r="L99" s="253" t="s">
        <x:v>1568</x:v>
      </x:c>
      <x:c r="M99" s="254" t="s">
        <x:v>148</x:v>
      </x:c>
      <x:c r="O99" s="240"/>
      <x:c r="P99" s="206" t="s">
        <x:v>1658</x:v>
      </x:c>
    </x:row>
    <x:row r="100" spans="1:16" customHeight="1">
      <x:c r="A100" s="194" t="s">
        <x:v>887</x:v>
      </x:c>
      <x:c r="B100" s="318" t="s">
        <x:v>1998</x:v>
      </x:c>
      <x:c r="C100" s="283" t="s">
        <x:v>78</x:v>
      </x:c>
      <x:c r="D100" s="20"/>
      <x:c r="E100" s="575" t="s">
        <x:v>78</x:v>
      </x:c>
      <x:c r="F100" s="576" t="s">
        <x:v>887</x:v>
      </x:c>
      <x:c r="G100" s="577" t="s">
        <x:v>1998</x:v>
      </x:c>
      <x:c r="H100" s="578" t="s">
        <x:v>255</x:v>
      </x:c>
      <x:c r="I100" s="579" t="s">
        <x:v>1109</x:v>
      </x:c>
      <x:c r="K100" s="252" t="s">
        <x:v>650</x:v>
      </x:c>
      <x:c r="L100" s="253" t="s">
        <x:v>1568</x:v>
      </x:c>
      <x:c r="M100" s="254" t="s">
        <x:v>646</x:v>
      </x:c>
      <x:c r="O100" s="240" t="s">
        <x:v>907</x:v>
      </x:c>
      <x:c r="P100" s="207" t="s">
        <x:v>902</x:v>
      </x:c>
    </x:row>
    <x:row r="101" spans="1:16" customHeight="1">
      <x:c r="A101" s="194" t="s">
        <x:v>2008</x:v>
      </x:c>
      <x:c r="B101" s="318" t="s">
        <x:v>1998</x:v>
      </x:c>
      <x:c r="C101" s="283" t="s">
        <x:v>78</x:v>
      </x:c>
      <x:c r="D101" s="20"/>
      <x:c r="E101" s="575" t="s">
        <x:v>78</x:v>
      </x:c>
      <x:c r="F101" s="576" t="s">
        <x:v>2008</x:v>
      </x:c>
      <x:c r="G101" s="577" t="s">
        <x:v>1998</x:v>
      </x:c>
      <x:c r="H101" s="578" t="s">
        <x:v>253</x:v>
      </x:c>
      <x:c r="I101" s="579" t="s">
        <x:v>1115</x:v>
      </x:c>
      <x:c r="K101" s="255" t="s">
        <x:v>647</x:v>
      </x:c>
      <x:c r="L101" s="256" t="s">
        <x:v>1568</x:v>
      </x:c>
      <x:c r="M101" s="257" t="s">
        <x:v>632</x:v>
      </x:c>
      <x:c r="O101" s="240"/>
      <x:c r="P101" s="204" t="s">
        <x:v>1596</x:v>
      </x:c>
    </x:row>
    <x:row r="102" spans="1:16" customHeight="1">
      <x:c r="A102" s="194" t="s">
        <x:v>521</x:v>
      </x:c>
      <x:c r="B102" s="318" t="s">
        <x:v>1998</x:v>
      </x:c>
      <x:c r="C102" s="283" t="s">
        <x:v>78</x:v>
      </x:c>
      <x:c r="D102" s="20"/>
      <x:c r="E102" s="575" t="s">
        <x:v>78</x:v>
      </x:c>
      <x:c r="F102" s="576" t="s">
        <x:v>521</x:v>
      </x:c>
      <x:c r="G102" s="577" t="s">
        <x:v>1998</x:v>
      </x:c>
      <x:c r="H102" s="578" t="s">
        <x:v>258</x:v>
      </x:c>
      <x:c r="I102" s="579" t="s">
        <x:v>1144</x:v>
      </x:c>
      <x:c r="K102" s="249" t="s">
        <x:v>652</x:v>
      </x:c>
      <x:c r="L102" s="250" t="s">
        <x:v>696</x:v>
      </x:c>
      <x:c r="M102" s="251" t="s">
        <x:v>1629</x:v>
      </x:c>
      <x:c r="O102" s="240"/>
      <x:c r="P102" s="205" t="s">
        <x:v>1626</x:v>
      </x:c>
    </x:row>
    <x:row r="103" spans="1:16" customHeight="1">
      <x:c r="A103" s="193" t="s">
        <x:v>80</x:v>
      </x:c>
      <x:c r="B103" s="316" t="s">
        <x:v>1998</x:v>
      </x:c>
      <x:c r="C103" s="291" t="s">
        <x:v>78</x:v>
      </x:c>
      <x:c r="D103" s="20"/>
      <x:c r="E103" s="565" t="s">
        <x:v>78</x:v>
      </x:c>
      <x:c r="F103" s="566" t="s">
        <x:v>80</x:v>
      </x:c>
      <x:c r="G103" s="567" t="s">
        <x:v>1998</x:v>
      </x:c>
      <x:c r="H103" s="568" t="s">
        <x:v>263</x:v>
      </x:c>
      <x:c r="I103" s="569" t="s">
        <x:v>1165</x:v>
      </x:c>
      <x:c r="K103" s="252" t="s">
        <x:v>654</x:v>
      </x:c>
      <x:c r="L103" s="253" t="s">
        <x:v>696</x:v>
      </x:c>
      <x:c r="M103" s="254" t="s">
        <x:v>1628</x:v>
      </x:c>
      <x:c r="O103" s="240"/>
      <x:c r="P103" s="206" t="s">
        <x:v>1616</x:v>
      </x:c>
    </x:row>
    <x:row r="104" spans="1:16" customHeight="1">
      <x:c r="A104" s="192" t="s">
        <x:v>508</x:v>
      </x:c>
      <x:c r="B104" s="315" t="s">
        <x:v>1998</x:v>
      </x:c>
      <x:c r="C104" s="290" t="s">
        <x:v>85</x:v>
      </x:c>
      <x:c r="D104" s="20"/>
      <x:c r="E104" s="560" t="s">
        <x:v>85</x:v>
      </x:c>
      <x:c r="F104" s="561" t="s">
        <x:v>508</x:v>
      </x:c>
      <x:c r="G104" s="562" t="s">
        <x:v>1998</x:v>
      </x:c>
      <x:c r="H104" s="563" t="s">
        <x:v>260</x:v>
      </x:c>
      <x:c r="I104" s="564" t="s">
        <x:v>1156</x:v>
      </x:c>
      <x:c r="K104" s="261" t="s">
        <x:v>655</x:v>
      </x:c>
      <x:c r="L104" s="262" t="s">
        <x:v>696</x:v>
      </x:c>
      <x:c r="M104" s="263" t="s">
        <x:v>943</x:v>
      </x:c>
      <x:c r="O104" s="240" t="s">
        <x:v>764</x:v>
      </x:c>
      <x:c r="P104" s="207" t="s">
        <x:v>1484</x:v>
      </x:c>
    </x:row>
    <x:row r="105" spans="1:16" customHeight="1">
      <x:c r="A105" s="194" t="s">
        <x:v>1996</x:v>
      </x:c>
      <x:c r="B105" s="318" t="s">
        <x:v>1998</x:v>
      </x:c>
      <x:c r="C105" s="283" t="s">
        <x:v>85</x:v>
      </x:c>
      <x:c r="D105" s="20"/>
      <x:c r="E105" s="575" t="s">
        <x:v>85</x:v>
      </x:c>
      <x:c r="F105" s="576" t="s">
        <x:v>1996</x:v>
      </x:c>
      <x:c r="G105" s="577" t="s">
        <x:v>1998</x:v>
      </x:c>
      <x:c r="H105" s="578" t="s">
        <x:v>257</x:v>
      </x:c>
      <x:c r="I105" s="579" t="s">
        <x:v>1160</x:v>
      </x:c>
      <x:c r="K105" s="249" t="s">
        <x:v>656</x:v>
      </x:c>
      <x:c r="L105" s="250" t="s">
        <x:v>1574</x:v>
      </x:c>
      <x:c r="M105" s="251" t="s">
        <x:v>1542</x:v>
      </x:c>
      <x:c r="O105" s="240" t="s">
        <x:v>895</x:v>
      </x:c>
      <x:c r="P105" s="207" t="s">
        <x:v>1481</x:v>
      </x:c>
    </x:row>
    <x:row r="106" spans="1:16" customHeight="1">
      <x:c r="A106" s="194" t="s">
        <x:v>1011</x:v>
      </x:c>
      <x:c r="B106" s="318" t="s">
        <x:v>1998</x:v>
      </x:c>
      <x:c r="C106" s="283" t="s">
        <x:v>85</x:v>
      </x:c>
      <x:c r="D106" s="20"/>
      <x:c r="E106" s="575" t="s">
        <x:v>85</x:v>
      </x:c>
      <x:c r="F106" s="576" t="s">
        <x:v>1011</x:v>
      </x:c>
      <x:c r="G106" s="577" t="s">
        <x:v>1998</x:v>
      </x:c>
      <x:c r="H106" s="578" t="s">
        <x:v>254</x:v>
      </x:c>
      <x:c r="I106" s="579" t="s">
        <x:v>1146</x:v>
      </x:c>
      <x:c r="K106" s="252" t="s">
        <x:v>657</x:v>
      </x:c>
      <x:c r="L106" s="253" t="s">
        <x:v>1574</x:v>
      </x:c>
      <x:c r="M106" s="254" t="s">
        <x:v>1640</x:v>
      </x:c>
      <x:c r="O106" s="240" t="s">
        <x:v>765</x:v>
      </x:c>
      <x:c r="P106" s="207" t="s">
        <x:v>1482</x:v>
      </x:c>
    </x:row>
    <x:row r="107" spans="1:16" customHeight="1">
      <x:c r="A107" s="194" t="s">
        <x:v>509</x:v>
      </x:c>
      <x:c r="B107" s="318" t="s">
        <x:v>1998</x:v>
      </x:c>
      <x:c r="C107" s="283" t="s">
        <x:v>85</x:v>
      </x:c>
      <x:c r="D107" s="20"/>
      <x:c r="E107" s="575" t="s">
        <x:v>85</x:v>
      </x:c>
      <x:c r="F107" s="576" t="s">
        <x:v>509</x:v>
      </x:c>
      <x:c r="G107" s="577" t="s">
        <x:v>1998</x:v>
      </x:c>
      <x:c r="H107" s="578" t="s">
        <x:v>261</x:v>
      </x:c>
      <x:c r="I107" s="579" t="s">
        <x:v>1161</x:v>
      </x:c>
      <x:c r="K107" s="252" t="s">
        <x:v>659</x:v>
      </x:c>
      <x:c r="L107" s="253" t="s">
        <x:v>1574</x:v>
      </x:c>
      <x:c r="M107" s="254" t="s">
        <x:v>1566</x:v>
      </x:c>
      <x:c r="O107" s="240"/>
      <x:c r="P107" s="205" t="s">
        <x:v>1621</x:v>
      </x:c>
    </x:row>
    <x:row r="108" spans="1:16" customHeight="1">
      <x:c r="A108" s="193" t="s">
        <x:v>477</x:v>
      </x:c>
      <x:c r="B108" s="316" t="s">
        <x:v>1998</x:v>
      </x:c>
      <x:c r="C108" s="291" t="s">
        <x:v>85</x:v>
      </x:c>
      <x:c r="D108" s="20"/>
      <x:c r="E108" s="565" t="s">
        <x:v>85</x:v>
      </x:c>
      <x:c r="F108" s="566" t="s">
        <x:v>477</x:v>
      </x:c>
      <x:c r="G108" s="567" t="s">
        <x:v>1998</x:v>
      </x:c>
      <x:c r="H108" s="568" t="s">
        <x:v>256</x:v>
      </x:c>
      <x:c r="I108" s="569" t="s">
        <x:v>1149</x:v>
      </x:c>
      <x:c r="K108" s="255" t="s">
        <x:v>980</x:v>
      </x:c>
      <x:c r="L108" s="256" t="s">
        <x:v>1574</x:v>
      </x:c>
      <x:c r="M108" s="257" t="s">
        <x:v>68</x:v>
      </x:c>
      <x:c r="O108" s="240"/>
      <x:c r="P108" s="206" t="s">
        <x:v>1633</x:v>
      </x:c>
    </x:row>
    <x:row r="109" spans="1:16" customHeight="1">
      <x:c r="A109" s="192" t="s">
        <x:v>526</x:v>
      </x:c>
      <x:c r="B109" s="315" t="s">
        <x:v>1998</x:v>
      </x:c>
      <x:c r="C109" s="290" t="s">
        <x:v>527</x:v>
      </x:c>
      <x:c r="D109" s="20"/>
      <x:c r="E109" s="560" t="s">
        <x:v>527</x:v>
      </x:c>
      <x:c r="F109" s="561" t="s">
        <x:v>526</x:v>
      </x:c>
      <x:c r="G109" s="562" t="s">
        <x:v>1998</x:v>
      </x:c>
      <x:c r="H109" s="563" t="s">
        <x:v>248</x:v>
      </x:c>
      <x:c r="I109" s="564" t="s">
        <x:v>1166</x:v>
      </x:c>
      <x:c r="K109" s="264" t="s">
        <x:v>674</x:v>
      </x:c>
      <x:c r="L109" s="265" t="s">
        <x:v>1573</x:v>
      </x:c>
      <x:c r="M109" s="266" t="s">
        <x:v>1565</x:v>
      </x:c>
      <x:c r="O109" s="240" t="s">
        <x:v>897</x:v>
      </x:c>
      <x:c r="P109" s="207" t="s">
        <x:v>1486</x:v>
      </x:c>
    </x:row>
    <x:row r="110" spans="1:16" customHeight="1">
      <x:c r="A110" s="194" t="s">
        <x:v>1995</x:v>
      </x:c>
      <x:c r="B110" s="318" t="s">
        <x:v>1998</x:v>
      </x:c>
      <x:c r="C110" s="283" t="s">
        <x:v>527</x:v>
      </x:c>
      <x:c r="D110" s="20"/>
      <x:c r="E110" s="575" t="s">
        <x:v>527</x:v>
      </x:c>
      <x:c r="F110" s="576" t="s">
        <x:v>1995</x:v>
      </x:c>
      <x:c r="G110" s="577" t="s">
        <x:v>1998</x:v>
      </x:c>
      <x:c r="H110" s="578" t="s">
        <x:v>262</x:v>
      </x:c>
      <x:c r="I110" s="579" t="s">
        <x:v>1153</x:v>
      </x:c>
      <x:c r="K110" s="249" t="s">
        <x:v>675</x:v>
      </x:c>
      <x:c r="L110" s="250" t="s">
        <x:v>705</x:v>
      </x:c>
      <x:c r="M110" s="251" t="s">
        <x:v>40</x:v>
      </x:c>
      <x:c r="O110" s="240" t="s">
        <x:v>771</x:v>
      </x:c>
      <x:c r="P110" s="207" t="s">
        <x:v>1483</x:v>
      </x:c>
    </x:row>
    <x:row r="111" spans="1:16" customHeight="1">
      <x:c r="A111" s="194" t="s">
        <x:v>530</x:v>
      </x:c>
      <x:c r="B111" s="318" t="s">
        <x:v>1998</x:v>
      </x:c>
      <x:c r="C111" s="283" t="s">
        <x:v>527</x:v>
      </x:c>
      <x:c r="D111" s="20"/>
      <x:c r="E111" s="575" t="s">
        <x:v>527</x:v>
      </x:c>
      <x:c r="F111" s="576" t="s">
        <x:v>530</x:v>
      </x:c>
      <x:c r="G111" s="577" t="s">
        <x:v>1998</x:v>
      </x:c>
      <x:c r="H111" s="578" t="s">
        <x:v>268</x:v>
      </x:c>
      <x:c r="I111" s="579" t="s">
        <x:v>1157</x:v>
      </x:c>
      <x:c r="K111" s="255" t="s">
        <x:v>676</x:v>
      </x:c>
      <x:c r="L111" s="256" t="s">
        <x:v>705</x:v>
      </x:c>
      <x:c r="M111" s="257" t="s">
        <x:v>677</x:v>
      </x:c>
      <x:c r="O111" s="240" t="s">
        <x:v>772</x:v>
      </x:c>
      <x:c r="P111" s="207" t="s">
        <x:v>1485</x:v>
      </x:c>
    </x:row>
    <x:row r="112" spans="1:16" customHeight="1">
      <x:c r="A112" s="287" t="s">
        <x:v>516</x:v>
      </x:c>
      <x:c r="B112" s="314" t="s">
        <x:v>1998</x:v>
      </x:c>
      <x:c r="C112" s="288" t="s">
        <x:v>527</x:v>
      </x:c>
      <x:c r="D112" s="20"/>
      <x:c r="E112" s="565" t="s">
        <x:v>527</x:v>
      </x:c>
      <x:c r="F112" s="566" t="s">
        <x:v>516</x:v>
      </x:c>
      <x:c r="G112" s="567" t="s">
        <x:v>1998</x:v>
      </x:c>
      <x:c r="H112" s="580" t="s">
        <x:v>251</x:v>
      </x:c>
      <x:c r="I112" s="581" t="s">
        <x:v>1152</x:v>
      </x:c>
      <x:c r="K112" s="264" t="s">
        <x:v>678</x:v>
      </x:c>
      <x:c r="L112" s="265" t="s">
        <x:v>664</x:v>
      </x:c>
      <x:c r="M112" s="266" t="s">
        <x:v>664</x:v>
      </x:c>
      <x:c r="O112" s="240"/>
      <x:c r="P112" s="204" t="s">
        <x:v>749</x:v>
      </x:c>
    </x:row>
    <x:row r="113" spans="1:16" customHeight="1">
      <x:c r="A113" s="373" t="s">
        <x:v>2015</x:v>
      </x:c>
      <x:c r="B113" s="315" t="s">
        <x:v>2005</x:v>
      </x:c>
      <x:c r="C113" s="290" t="s">
        <x:v>954</x:v>
      </x:c>
      <x:c r="D113" s="20"/>
      <x:c r="E113" s="560" t="s">
        <x:v>954</x:v>
      </x:c>
      <x:c r="F113" s="561" t="s">
        <x:v>2015</x:v>
      </x:c>
      <x:c r="G113" s="562" t="s">
        <x:v>2005</x:v>
      </x:c>
      <x:c r="H113" s="563" t="s">
        <x:v>270</x:v>
      </x:c>
      <x:c r="I113" s="564" t="s">
        <x:v>1162</x:v>
      </x:c>
      <x:c r="K113" s="264" t="s">
        <x:v>686</x:v>
      </x:c>
      <x:c r="L113" s="265" t="s">
        <x:v>672</x:v>
      </x:c>
      <x:c r="M113" s="266" t="s">
        <x:v>672</x:v>
      </x:c>
      <x:c r="O113" s="240"/>
      <x:c r="P113" s="205" t="s">
        <x:v>1588</x:v>
      </x:c>
    </x:row>
    <x:row r="114" spans="1:16" customHeight="1">
      <x:c r="A114" s="371" t="s">
        <x:v>2016</x:v>
      </x:c>
      <x:c r="B114" s="318" t="s">
        <x:v>2005</x:v>
      </x:c>
      <x:c r="C114" s="283" t="s">
        <x:v>954</x:v>
      </x:c>
      <x:c r="D114" s="20"/>
      <x:c r="E114" s="575" t="s">
        <x:v>954</x:v>
      </x:c>
      <x:c r="F114" s="576" t="s">
        <x:v>2016</x:v>
      </x:c>
      <x:c r="G114" s="577" t="s">
        <x:v>2005</x:v>
      </x:c>
      <x:c r="H114" s="578" t="s">
        <x:v>245</x:v>
      </x:c>
      <x:c r="I114" s="579" t="s">
        <x:v>1141</x:v>
      </x:c>
      <x:c r="K114" s="249" t="s">
        <x:v>687</x:v>
      </x:c>
      <x:c r="L114" s="250" t="s">
        <x:v>131</x:v>
      </x:c>
      <x:c r="M114" s="251" t="s">
        <x:v>669</x:v>
      </x:c>
      <x:c r="O114" s="240"/>
      <x:c r="P114" s="206" t="s">
        <x:v>1599</x:v>
      </x:c>
    </x:row>
    <x:row r="115" spans="1:16" customHeight="1">
      <x:c r="A115" s="371" t="s">
        <x:v>936</x:v>
      </x:c>
      <x:c r="B115" s="318" t="s">
        <x:v>2005</x:v>
      </x:c>
      <x:c r="C115" s="283" t="s">
        <x:v>954</x:v>
      </x:c>
      <x:c r="D115" s="20"/>
      <x:c r="E115" s="575" t="s">
        <x:v>954</x:v>
      </x:c>
      <x:c r="F115" s="576" t="s">
        <x:v>936</x:v>
      </x:c>
      <x:c r="G115" s="577" t="s">
        <x:v>2005</x:v>
      </x:c>
      <x:c r="H115" s="578" t="s">
        <x:v>272</x:v>
      </x:c>
      <x:c r="I115" s="579" t="s">
        <x:v>1159</x:v>
      </x:c>
      <x:c r="K115" s="252" t="s">
        <x:v>665</x:v>
      </x:c>
      <x:c r="L115" s="253" t="s">
        <x:v>131</x:v>
      </x:c>
      <x:c r="M115" s="254" t="s">
        <x:v>45</x:v>
      </x:c>
      <x:c r="O115" s="240" t="s">
        <x:v>774</x:v>
      </x:c>
      <x:c r="P115" s="207" t="s">
        <x:v>843</x:v>
      </x:c>
    </x:row>
    <x:row r="116" spans="1:16" customHeight="1">
      <x:c r="A116" s="371" t="s">
        <x:v>929</x:v>
      </x:c>
      <x:c r="B116" s="318" t="s">
        <x:v>2005</x:v>
      </x:c>
      <x:c r="C116" s="283" t="s">
        <x:v>954</x:v>
      </x:c>
      <x:c r="D116" s="20"/>
      <x:c r="E116" s="575" t="s">
        <x:v>954</x:v>
      </x:c>
      <x:c r="F116" s="576" t="s">
        <x:v>929</x:v>
      </x:c>
      <x:c r="G116" s="577" t="s">
        <x:v>2005</x:v>
      </x:c>
      <x:c r="H116" s="578" t="s">
        <x:v>250</x:v>
      </x:c>
      <x:c r="I116" s="579" t="s">
        <x:v>1138</x:v>
      </x:c>
      <x:c r="K116" s="252" t="s">
        <x:v>666</x:v>
      </x:c>
      <x:c r="L116" s="253" t="s">
        <x:v>131</x:v>
      </x:c>
      <x:c r="M116" s="254" t="s">
        <x:v>42</x:v>
      </x:c>
      <x:c r="O116" s="240" t="s">
        <x:v>814</x:v>
      </x:c>
      <x:c r="P116" s="207" t="s">
        <x:v>1644</x:v>
      </x:c>
    </x:row>
    <x:row r="117" spans="1:16" customHeight="1">
      <x:c r="A117" s="194" t="s">
        <x:v>485</x:v>
      </x:c>
      <x:c r="B117" s="318" t="s">
        <x:v>2005</x:v>
      </x:c>
      <x:c r="C117" s="283" t="s">
        <x:v>954</x:v>
      </x:c>
      <x:c r="D117" s="20"/>
      <x:c r="E117" s="575" t="s">
        <x:v>954</x:v>
      </x:c>
      <x:c r="F117" s="576" t="s">
        <x:v>485</x:v>
      </x:c>
      <x:c r="G117" s="577" t="s">
        <x:v>2005</x:v>
      </x:c>
      <x:c r="H117" s="578" t="s">
        <x:v>246</x:v>
      </x:c>
      <x:c r="I117" s="579" t="s">
        <x:v>1169</x:v>
      </x:c>
      <x:c r="K117" s="255" t="s">
        <x:v>679</x:v>
      </x:c>
      <x:c r="L117" s="256" t="s">
        <x:v>131</x:v>
      </x:c>
      <x:c r="M117" s="257" t="s">
        <x:v>72</x:v>
      </x:c>
      <x:c r="O117" s="240" t="s">
        <x:v>891</x:v>
      </x:c>
      <x:c r="P117" s="207" t="s">
        <x:v>113</x:v>
      </x:c>
    </x:row>
    <x:row r="118" spans="1:16" customHeight="1">
      <x:c r="A118" s="194" t="s">
        <x:v>1532</x:v>
      </x:c>
      <x:c r="B118" s="318" t="s">
        <x:v>2005</x:v>
      </x:c>
      <x:c r="C118" s="283" t="s">
        <x:v>954</x:v>
      </x:c>
      <x:c r="D118" s="20"/>
      <x:c r="E118" s="575" t="s">
        <x:v>954</x:v>
      </x:c>
      <x:c r="F118" s="576" t="s">
        <x:v>1532</x:v>
      </x:c>
      <x:c r="G118" s="577" t="s">
        <x:v>2005</x:v>
      </x:c>
      <x:c r="H118" s="578" t="s">
        <x:v>276</x:v>
      </x:c>
      <x:c r="I118" s="579" t="s">
        <x:v>1158</x:v>
      </x:c>
      <x:c r="K118" s="268" t="s">
        <x:v>688</x:v>
      </x:c>
      <x:c r="L118" s="269" t="s">
        <x:v>118</x:v>
      </x:c>
      <x:c r="M118" s="270" t="s">
        <x:v>118</x:v>
      </x:c>
      <x:c r="O118" s="240"/>
      <x:c r="P118" s="205" t="s">
        <x:v>1604</x:v>
      </x:c>
    </x:row>
    <x:row r="119" spans="1:16" customHeight="1">
      <x:c r="A119" s="193" t="s">
        <x:v>490</x:v>
      </x:c>
      <x:c r="B119" s="316" t="s">
        <x:v>2005</x:v>
      </x:c>
      <x:c r="C119" s="291" t="s">
        <x:v>954</x:v>
      </x:c>
      <x:c r="D119" s="20"/>
      <x:c r="E119" s="565" t="s">
        <x:v>954</x:v>
      </x:c>
      <x:c r="F119" s="566" t="s">
        <x:v>490</x:v>
      </x:c>
      <x:c r="G119" s="567" t="s">
        <x:v>2005</x:v>
      </x:c>
      <x:c r="H119" s="568" t="s">
        <x:v>252</x:v>
      </x:c>
      <x:c r="I119" s="569" t="s">
        <x:v>1142</x:v>
      </x:c>
      <x:c r="K119" s="249" t="s">
        <x:v>681</x:v>
      </x:c>
      <x:c r="L119" s="250" t="s">
        <x:v>703</x:v>
      </x:c>
      <x:c r="M119" s="251" t="s">
        <x:v>1446</x:v>
      </x:c>
      <x:c r="O119" s="240"/>
      <x:c r="P119" s="206" t="s">
        <x:v>1605</x:v>
      </x:c>
    </x:row>
    <x:row r="120" spans="1:16" customHeight="1">
      <x:c r="A120" s="292" t="s">
        <x:v>49</x:v>
      </x:c>
      <x:c r="B120" s="319" t="s">
        <x:v>1998</x:v>
      </x:c>
      <x:c r="C120" s="293" t="s">
        <x:v>49</x:v>
      </x:c>
      <x:c r="D120" s="20"/>
      <x:c r="E120" s="570" t="s">
        <x:v>49</x:v>
      </x:c>
      <x:c r="F120" s="571" t="s">
        <x:v>49</x:v>
      </x:c>
      <x:c r="G120" s="572" t="s">
        <x:v>1998</x:v>
      </x:c>
      <x:c r="H120" s="573" t="s">
        <x:v>249</x:v>
      </x:c>
      <x:c r="I120" s="574">
        <x:v>50901</x:v>
      </x:c>
      <x:c r="K120" s="252" t="s">
        <x:v>670</x:v>
      </x:c>
      <x:c r="L120" s="253" t="s">
        <x:v>703</x:v>
      </x:c>
      <x:c r="M120" s="254" t="s">
        <x:v>1645</x:v>
      </x:c>
      <x:c r="O120" s="240" t="s">
        <x:v>811</x:v>
      </x:c>
      <x:c r="P120" s="207" t="s">
        <x:v>853</x:v>
      </x:c>
    </x:row>
    <x:row r="121" spans="1:16" customHeight="1">
      <x:c r="A121" s="192" t="s">
        <x:v>932</x:v>
      </x:c>
      <x:c r="B121" s="315" t="s">
        <x:v>1956</x:v>
      </x:c>
      <x:c r="C121" s="290" t="s">
        <x:v>932</x:v>
      </x:c>
      <x:c r="D121" s="20"/>
      <x:c r="E121" s="560" t="s">
        <x:v>932</x:v>
      </x:c>
      <x:c r="F121" s="561" t="s">
        <x:v>932</x:v>
      </x:c>
      <x:c r="G121" s="562" t="s">
        <x:v>1956</x:v>
      </x:c>
      <x:c r="H121" s="563" t="s">
        <x:v>271</x:v>
      </x:c>
      <x:c r="I121" s="564" t="s">
        <x:v>1163</x:v>
      </x:c>
      <x:c r="K121" s="252" t="s">
        <x:v>689</x:v>
      </x:c>
      <x:c r="L121" s="253" t="s">
        <x:v>703</x:v>
      </x:c>
      <x:c r="M121" s="254" t="s">
        <x:v>46</x:v>
      </x:c>
      <x:c r="O121" s="240"/>
      <x:c r="P121" s="204" t="s">
        <x:v>751</x:v>
      </x:c>
    </x:row>
    <x:row r="122" spans="1:16" customHeight="1">
      <x:c r="A122" s="193" t="s">
        <x:v>517</x:v>
      </x:c>
      <x:c r="B122" s="316" t="s">
        <x:v>1956</x:v>
      </x:c>
      <x:c r="C122" s="291" t="s">
        <x:v>932</x:v>
      </x:c>
      <x:c r="D122" s="20"/>
      <x:c r="E122" s="565" t="s">
        <x:v>932</x:v>
      </x:c>
      <x:c r="F122" s="566" t="s">
        <x:v>517</x:v>
      </x:c>
      <x:c r="G122" s="567" t="s">
        <x:v>1956</x:v>
      </x:c>
      <x:c r="H122" s="568" t="s">
        <x:v>273</x:v>
      </x:c>
      <x:c r="I122" s="569" t="s">
        <x:v>1164</x:v>
      </x:c>
      <x:c r="K122" s="252" t="s">
        <x:v>690</x:v>
      </x:c>
      <x:c r="L122" s="253" t="s">
        <x:v>703</x:v>
      </x:c>
      <x:c r="M122" s="254" t="s">
        <x:v>43</x:v>
      </x:c>
      <x:c r="O122" s="240"/>
      <x:c r="P122" s="205" t="s">
        <x:v>1607</x:v>
      </x:c>
    </x:row>
    <x:row r="123" spans="1:16" customHeight="1">
      <x:c r="A123" s="192" t="s">
        <x:v>1537</x:v>
      </x:c>
      <x:c r="B123" s="315" t="s">
        <x:v>519</x:v>
      </x:c>
      <x:c r="C123" s="290" t="s">
        <x:v>171</x:v>
      </x:c>
      <x:c r="D123" s="20"/>
      <x:c r="E123" s="560" t="s">
        <x:v>171</x:v>
      </x:c>
      <x:c r="F123" s="561" t="s">
        <x:v>1537</x:v>
      </x:c>
      <x:c r="G123" s="562" t="s">
        <x:v>519</x:v>
      </x:c>
      <x:c r="H123" s="563" t="s">
        <x:v>275</x:v>
      </x:c>
      <x:c r="I123" s="564" t="s">
        <x:v>1147</x:v>
      </x:c>
      <x:c r="K123" s="252" t="s">
        <x:v>692</x:v>
      </x:c>
      <x:c r="L123" s="253" t="s">
        <x:v>703</x:v>
      </x:c>
      <x:c r="M123" s="254" t="s">
        <x:v>44</x:v>
      </x:c>
      <x:c r="O123" s="240"/>
      <x:c r="P123" s="206" t="s">
        <x:v>728</x:v>
      </x:c>
    </x:row>
    <x:row r="124" spans="1:16" customHeight="1">
      <x:c r="A124" s="194" t="s">
        <x:v>911</x:v>
      </x:c>
      <x:c r="B124" s="318" t="s">
        <x:v>519</x:v>
      </x:c>
      <x:c r="C124" s="283" t="s">
        <x:v>171</x:v>
      </x:c>
      <x:c r="D124" s="20"/>
      <x:c r="E124" s="575" t="s">
        <x:v>171</x:v>
      </x:c>
      <x:c r="F124" s="576" t="s">
        <x:v>911</x:v>
      </x:c>
      <x:c r="G124" s="577" t="s">
        <x:v>519</x:v>
      </x:c>
      <x:c r="H124" s="578" t="s">
        <x:v>274</x:v>
      </x:c>
      <x:c r="I124" s="579" t="s">
        <x:v>1155</x:v>
      </x:c>
      <x:c r="K124" s="252" t="s">
        <x:v>667</x:v>
      </x:c>
      <x:c r="L124" s="253" t="s">
        <x:v>703</x:v>
      </x:c>
      <x:c r="M124" s="254" t="s">
        <x:v>691</x:v>
      </x:c>
      <x:c r="O124" s="240" t="s">
        <x:v>905</x:v>
      </x:c>
      <x:c r="P124" s="207" t="s">
        <x:v>825</x:v>
      </x:c>
    </x:row>
    <x:row r="125" spans="1:16" customHeight="1">
      <x:c r="A125" s="194" t="s">
        <x:v>539</x:v>
      </x:c>
      <x:c r="B125" s="318" t="s">
        <x:v>519</x:v>
      </x:c>
      <x:c r="C125" s="283" t="s">
        <x:v>171</x:v>
      </x:c>
      <x:c r="D125" s="20"/>
      <x:c r="E125" s="575" t="s">
        <x:v>171</x:v>
      </x:c>
      <x:c r="F125" s="576" t="s">
        <x:v>539</x:v>
      </x:c>
      <x:c r="G125" s="577" t="s">
        <x:v>519</x:v>
      </x:c>
      <x:c r="H125" s="578" t="s">
        <x:v>308</x:v>
      </x:c>
      <x:c r="I125" s="579" t="s">
        <x:v>1167</x:v>
      </x:c>
      <x:c r="K125" s="255" t="s">
        <x:v>663</x:v>
      </x:c>
      <x:c r="L125" s="256" t="s">
        <x:v>703</x:v>
      </x:c>
      <x:c r="M125" s="257" t="s">
        <x:v>48</x:v>
      </x:c>
      <x:c r="O125" s="240" t="s">
        <x:v>812</x:v>
      </x:c>
      <x:c r="P125" s="207" t="s">
        <x:v>844</x:v>
      </x:c>
    </x:row>
    <x:row r="126" spans="1:16" customHeight="1">
      <x:c r="A126" s="194" t="s">
        <x:v>993</x:v>
      </x:c>
      <x:c r="B126" s="318" t="s">
        <x:v>519</x:v>
      </x:c>
      <x:c r="C126" s="283" t="s">
        <x:v>171</x:v>
      </x:c>
      <x:c r="D126" s="20"/>
      <x:c r="E126" s="575" t="s">
        <x:v>171</x:v>
      </x:c>
      <x:c r="F126" s="576" t="s">
        <x:v>993</x:v>
      </x:c>
      <x:c r="G126" s="577" t="s">
        <x:v>519</x:v>
      </x:c>
      <x:c r="H126" s="578" t="s">
        <x:v>300</x:v>
      </x:c>
      <x:c r="I126" s="579" t="s">
        <x:v>1168</x:v>
      </x:c>
      <x:c r="K126" s="249" t="s">
        <x:v>671</x:v>
      </x:c>
      <x:c r="L126" s="250" t="s">
        <x:v>142</x:v>
      </x:c>
      <x:c r="M126" s="251" t="s">
        <x:v>941</x:v>
      </x:c>
      <x:c r="O126" s="240" t="s">
        <x:v>903</x:v>
      </x:c>
      <x:c r="P126" s="207" t="s">
        <x:v>1477</x:v>
      </x:c>
    </x:row>
    <x:row r="127" spans="1:16" customHeight="1">
      <x:c r="A127" s="194" t="s">
        <x:v>938</x:v>
      </x:c>
      <x:c r="B127" s="318" t="s">
        <x:v>519</x:v>
      </x:c>
      <x:c r="C127" s="283" t="s">
        <x:v>171</x:v>
      </x:c>
      <x:c r="D127" s="20"/>
      <x:c r="E127" s="575" t="s">
        <x:v>171</x:v>
      </x:c>
      <x:c r="F127" s="576" t="s">
        <x:v>938</x:v>
      </x:c>
      <x:c r="G127" s="577" t="s">
        <x:v>519</x:v>
      </x:c>
      <x:c r="H127" s="578" t="s">
        <x:v>282</x:v>
      </x:c>
      <x:c r="I127" s="579" t="s">
        <x:v>1139</x:v>
      </x:c>
      <x:c r="K127" s="261" t="s">
        <x:v>673</x:v>
      </x:c>
      <x:c r="L127" s="262" t="s">
        <x:v>142</x:v>
      </x:c>
      <x:c r="M127" s="263" t="s">
        <x:v>944</x:v>
      </x:c>
      <x:c r="O127" s="240" t="s">
        <x:v>805</x:v>
      </x:c>
      <x:c r="P127" s="207" t="s">
        <x:v>121</x:v>
      </x:c>
    </x:row>
    <x:row r="128" spans="1:16" customHeight="1">
      <x:c r="A128" s="194" t="s">
        <x:v>886</x:v>
      </x:c>
      <x:c r="B128" s="318" t="s">
        <x:v>519</x:v>
      </x:c>
      <x:c r="C128" s="283" t="s">
        <x:v>171</x:v>
      </x:c>
      <x:c r="D128" s="20"/>
      <x:c r="E128" s="575" t="s">
        <x:v>171</x:v>
      </x:c>
      <x:c r="F128" s="576" t="s">
        <x:v>886</x:v>
      </x:c>
      <x:c r="G128" s="577" t="s">
        <x:v>519</x:v>
      </x:c>
      <x:c r="H128" s="578" t="s">
        <x:v>299</x:v>
      </x:c>
      <x:c r="I128" s="579" t="s">
        <x:v>1140</x:v>
      </x:c>
      <x:c r="K128" s="249" t="s">
        <x:v>680</x:v>
      </x:c>
      <x:c r="L128" s="250" t="s">
        <x:v>1577</x:v>
      </x:c>
      <x:c r="M128" s="251" t="s">
        <x:v>933</x:v>
      </x:c>
      <x:c r="O128" s="240"/>
      <x:c r="P128" s="206" t="s">
        <x:v>1601</x:v>
      </x:c>
    </x:row>
    <x:row r="129" spans="1:17" customHeight="1">
      <x:c r="A129" s="193" t="s">
        <x:v>918</x:v>
      </x:c>
      <x:c r="B129" s="316" t="s">
        <x:v>519</x:v>
      </x:c>
      <x:c r="C129" s="291" t="s">
        <x:v>171</x:v>
      </x:c>
      <x:c r="D129" s="20"/>
      <x:c r="E129" s="565" t="s">
        <x:v>171</x:v>
      </x:c>
      <x:c r="F129" s="566" t="s">
        <x:v>918</x:v>
      </x:c>
      <x:c r="G129" s="567" t="s">
        <x:v>519</x:v>
      </x:c>
      <x:c r="H129" s="568" t="s">
        <x:v>295</x:v>
      </x:c>
      <x:c r="I129" s="569" t="s">
        <x:v>1143</x:v>
      </x:c>
      <x:c r="K129" s="252" t="s">
        <x:v>682</x:v>
      </x:c>
      <x:c r="L129" s="253" t="s">
        <x:v>1577</x:v>
      </x:c>
      <x:c r="M129" s="254" t="s">
        <x:v>1637</x:v>
      </x:c>
      <x:c r="O129" s="240" t="s">
        <x:v>802</x:v>
      </x:c>
      <x:c r="P129" s="207" t="s">
        <x:v>851</x:v>
      </x:c>
      <x:c r="Q129" s="553" t="s">
        <x:v>153</x:v>
      </x:c>
    </x:row>
    <x:row r="130" spans="1:16" customHeight="1">
      <x:c r="A130" s="192" t="s">
        <x:v>452</x:v>
      </x:c>
      <x:c r="B130" s="315" t="s">
        <x:v>61</x:v>
      </x:c>
      <x:c r="C130" s="290" t="s">
        <x:v>169</x:v>
      </x:c>
      <x:c r="D130" s="20"/>
      <x:c r="E130" s="560" t="s">
        <x:v>169</x:v>
      </x:c>
      <x:c r="F130" s="561" t="s">
        <x:v>452</x:v>
      </x:c>
      <x:c r="G130" s="562" t="s">
        <x:v>61</x:v>
      </x:c>
      <x:c r="H130" s="563" t="s">
        <x:v>296</x:v>
      </x:c>
      <x:c r="I130" s="564" t="s">
        <x:v>1145</x:v>
      </x:c>
      <x:c r="K130" s="255" t="s">
        <x:v>684</x:v>
      </x:c>
      <x:c r="L130" s="256" t="s">
        <x:v>1577</x:v>
      </x:c>
      <x:c r="M130" s="257" t="s">
        <x:v>1659</x:v>
      </x:c>
      <x:c r="O130" s="240" t="s">
        <x:v>793</x:v>
      </x:c>
      <x:c r="P130" s="207" t="s">
        <x:v>839</x:v>
      </x:c>
    </x:row>
    <x:row r="131" spans="1:16" customHeight="1">
      <x:c r="A131" s="194" t="s">
        <x:v>994</x:v>
      </x:c>
      <x:c r="B131" s="318" t="s">
        <x:v>61</x:v>
      </x:c>
      <x:c r="C131" s="283" t="s">
        <x:v>169</x:v>
      </x:c>
      <x:c r="D131" s="20"/>
      <x:c r="E131" s="575" t="s">
        <x:v>169</x:v>
      </x:c>
      <x:c r="F131" s="576" t="s">
        <x:v>994</x:v>
      </x:c>
      <x:c r="G131" s="577" t="s">
        <x:v>61</x:v>
      </x:c>
      <x:c r="H131" s="578" t="s">
        <x:v>285</x:v>
      </x:c>
      <x:c r="I131" s="579" t="s">
        <x:v>1148</x:v>
      </x:c>
      <x:c r="K131" s="264" t="s">
        <x:v>683</x:v>
      </x:c>
      <x:c r="L131" s="265" t="s">
        <x:v>685</x:v>
      </x:c>
      <x:c r="M131" s="266" t="s">
        <x:v>685</x:v>
      </x:c>
      <x:c r="O131" s="240" t="s">
        <x:v>796</x:v>
      </x:c>
      <x:c r="P131" s="207" t="s">
        <x:v>916</x:v>
      </x:c>
    </x:row>
    <x:row r="132" spans="1:16" customHeight="1">
      <x:c r="A132" s="194" t="s">
        <x:v>449</x:v>
      </x:c>
      <x:c r="B132" s="318" t="s">
        <x:v>61</x:v>
      </x:c>
      <x:c r="C132" s="283" t="s">
        <x:v>169</x:v>
      </x:c>
      <x:c r="D132" s="20"/>
      <x:c r="E132" s="575" t="s">
        <x:v>169</x:v>
      </x:c>
      <x:c r="F132" s="576" t="s">
        <x:v>449</x:v>
      </x:c>
      <x:c r="G132" s="577" t="s">
        <x:v>61</x:v>
      </x:c>
      <x:c r="H132" s="578" t="s">
        <x:v>290</x:v>
      </x:c>
      <x:c r="I132" s="579" t="s">
        <x:v>1150</x:v>
      </x:c>
      <x:c r="K132" s="249" t="s">
        <x:v>668</x:v>
      </x:c>
      <x:c r="L132" s="250" t="s">
        <x:v>1583</x:v>
      </x:c>
      <x:c r="M132" s="251" t="s">
        <x:v>70</x:v>
      </x:c>
      <x:c r="O132" s="240"/>
      <x:c r="P132" s="206" t="s">
        <x:v>1606</x:v>
      </x:c>
    </x:row>
    <x:row r="133" spans="1:16" customHeight="1">
      <x:c r="A133" s="193" t="s">
        <x:v>1034</x:v>
      </x:c>
      <x:c r="B133" s="316" t="s">
        <x:v>61</x:v>
      </x:c>
      <x:c r="C133" s="291" t="s">
        <x:v>169</x:v>
      </x:c>
      <x:c r="D133" s="20"/>
      <x:c r="E133" s="565" t="s">
        <x:v>169</x:v>
      </x:c>
      <x:c r="F133" s="566" t="s">
        <x:v>1034</x:v>
      </x:c>
      <x:c r="G133" s="567" t="s">
        <x:v>61</x:v>
      </x:c>
      <x:c r="H133" s="568" t="s">
        <x:v>297</x:v>
      </x:c>
      <x:c r="I133" s="569" t="s">
        <x:v>1151</x:v>
      </x:c>
      <x:c r="K133" s="255" t="s">
        <x:v>693</x:v>
      </x:c>
      <x:c r="L133" s="256" t="s">
        <x:v>1583</x:v>
      </x:c>
      <x:c r="M133" s="257" t="s">
        <x:v>69</x:v>
      </x:c>
      <x:c r="O133" s="240" t="s">
        <x:v>810</x:v>
      </x:c>
      <x:c r="P133" s="207" t="s">
        <x:v>1451</x:v>
      </x:c>
    </x:row>
    <x:row r="134" spans="1:16" customHeight="1">
      <x:c r="A134" s="192" t="s">
        <x:v>1006</x:v>
      </x:c>
      <x:c r="B134" s="315" t="s">
        <x:v>61</x:v>
      </x:c>
      <x:c r="C134" s="290" t="s">
        <x:v>1002</x:v>
      </x:c>
      <x:c r="D134" s="20"/>
      <x:c r="E134" s="271" t="s">
        <x:v>1002</x:v>
      </x:c>
      <x:c r="F134" s="274" t="s">
        <x:v>1006</x:v>
      </x:c>
      <x:c r="G134" s="562" t="s">
        <x:v>61</x:v>
      </x:c>
      <x:c r="H134" s="563" t="s">
        <x:v>292</x:v>
      </x:c>
      <x:c r="I134" s="583" t="s">
        <x:v>1154</x:v>
      </x:c>
      <x:c r="K134" s="264" t="s">
        <x:v>662</x:v>
      </x:c>
      <x:c r="L134" s="265" t="s">
        <x:v>133</x:v>
      </x:c>
      <x:c r="M134" s="266" t="s">
        <x:v>133</x:v>
      </x:c>
      <x:c r="O134" s="240"/>
      <x:c r="P134" s="205" t="s">
        <x:v>1597</x:v>
      </x:c>
    </x:row>
    <x:row r="135" spans="1:16" customHeight="1">
      <x:c r="A135" s="194" t="s">
        <x:v>1000</x:v>
      </x:c>
      <x:c r="B135" s="318" t="s">
        <x:v>61</x:v>
      </x:c>
      <x:c r="C135" s="283" t="s">
        <x:v>1002</x:v>
      </x:c>
      <x:c r="D135" s="20"/>
      <x:c r="E135" s="272" t="s">
        <x:v>1002</x:v>
      </x:c>
      <x:c r="F135" s="276" t="s">
        <x:v>1000</x:v>
      </x:c>
      <x:c r="G135" s="577" t="s">
        <x:v>61</x:v>
      </x:c>
      <x:c r="H135" s="578" t="s">
        <x:v>289</x:v>
      </x:c>
      <x:c r="I135" s="584" t="s">
        <x:v>1192</x:v>
      </x:c>
      <x:c r="K135" s="249" t="s">
        <x:v>706</x:v>
      </x:c>
      <x:c r="L135" s="250" t="s">
        <x:v>1576</x:v>
      </x:c>
      <x:c r="M135" s="251" t="s">
        <x:v>921</x:v>
      </x:c>
      <x:c r="O135" s="240"/>
      <x:c r="P135" s="206" t="s">
        <x:v>1602</x:v>
      </x:c>
    </x:row>
    <x:row r="136" spans="1:16" customHeight="1">
      <x:c r="A136" s="287" t="s">
        <x:v>1003</x:v>
      </x:c>
      <x:c r="B136" s="314" t="s">
        <x:v>61</x:v>
      </x:c>
      <x:c r="C136" s="288" t="s">
        <x:v>1002</x:v>
      </x:c>
      <x:c r="D136" s="20"/>
      <x:c r="E136" s="273" t="s">
        <x:v>1002</x:v>
      </x:c>
      <x:c r="F136" s="278" t="s">
        <x:v>1003</x:v>
      </x:c>
      <x:c r="G136" s="567" t="s">
        <x:v>61</x:v>
      </x:c>
      <x:c r="H136" s="568" t="s">
        <x:v>286</x:v>
      </x:c>
      <x:c r="I136" s="582" t="s">
        <x:v>1198</x:v>
      </x:c>
      <x:c r="K136" s="252" t="s">
        <x:v>713</x:v>
      </x:c>
      <x:c r="L136" s="253" t="s">
        <x:v>1576</x:v>
      </x:c>
      <x:c r="M136" s="254" t="s">
        <x:v>935</x:v>
      </x:c>
      <x:c r="O136" s="240" t="s">
        <x:v>803</x:v>
      </x:c>
      <x:c r="P136" s="207" t="s">
        <x:v>892</x:v>
      </x:c>
    </x:row>
    <x:row r="137" spans="1:16" customHeight="1">
      <x:c r="A137" s="297" t="s">
        <x:v>919</x:v>
      </x:c>
      <x:c r="B137" s="315" t="s">
        <x:v>2022</x:v>
      </x:c>
      <x:c r="C137" s="198" t="s">
        <x:v>57</x:v>
      </x:c>
      <x:c r="D137" s="20"/>
      <x:c r="E137" s="560" t="s">
        <x:v>57</x:v>
      </x:c>
      <x:c r="F137" s="561" t="s">
        <x:v>919</x:v>
      </x:c>
      <x:c r="G137" s="562" t="s">
        <x:v>2022</x:v>
      </x:c>
      <x:c r="H137" s="563" t="s">
        <x:v>302</x:v>
      </x:c>
      <x:c r="I137" s="564" t="s">
        <x:v>1186</x:v>
      </x:c>
      <x:c r="K137" s="252" t="s">
        <x:v>700</x:v>
      </x:c>
      <x:c r="L137" s="253" t="s">
        <x:v>1576</x:v>
      </x:c>
      <x:c r="M137" s="254" t="s">
        <x:v>1448</x:v>
      </x:c>
      <x:c r="O137" s="240"/>
      <x:c r="P137" s="204" t="s">
        <x:v>1450</x:v>
      </x:c>
    </x:row>
    <x:row r="138" spans="1:16" customHeight="1">
      <x:c r="A138" s="194" t="s">
        <x:v>997</x:v>
      </x:c>
      <x:c r="B138" s="318" t="s">
        <x:v>2022</x:v>
      </x:c>
      <x:c r="C138" s="283" t="s">
        <x:v>57</x:v>
      </x:c>
      <x:c r="D138" s="20"/>
      <x:c r="E138" s="575" t="s">
        <x:v>57</x:v>
      </x:c>
      <x:c r="F138" s="576" t="s">
        <x:v>997</x:v>
      </x:c>
      <x:c r="G138" s="577" t="s">
        <x:v>2022</x:v>
      </x:c>
      <x:c r="H138" s="578" t="s">
        <x:v>294</x:v>
      </x:c>
      <x:c r="I138" s="579" t="s">
        <x:v>1177</x:v>
      </x:c>
      <x:c r="K138" s="261" t="s">
        <x:v>714</x:v>
      </x:c>
      <x:c r="L138" s="262" t="s">
        <x:v>1576</x:v>
      </x:c>
      <x:c r="M138" s="263" t="s">
        <x:v>1462</x:v>
      </x:c>
      <x:c r="O138" s="240"/>
      <x:c r="P138" s="205" t="s">
        <x:v>1598</x:v>
      </x:c>
    </x:row>
    <x:row r="139" spans="1:16" customHeight="1">
      <x:c r="A139" s="194" t="s">
        <x:v>979</x:v>
      </x:c>
      <x:c r="B139" s="318" t="s">
        <x:v>2022</x:v>
      </x:c>
      <x:c r="C139" s="283" t="s">
        <x:v>57</x:v>
      </x:c>
      <x:c r="D139" s="20"/>
      <x:c r="E139" s="575" t="s">
        <x:v>57</x:v>
      </x:c>
      <x:c r="F139" s="576" t="s">
        <x:v>979</x:v>
      </x:c>
      <x:c r="G139" s="577" t="s">
        <x:v>2022</x:v>
      </x:c>
      <x:c r="H139" s="578" t="s">
        <x:v>303</x:v>
      </x:c>
      <x:c r="I139" s="579" t="s">
        <x:v>1200</x:v>
      </x:c>
      <x:c r="K139" s="249" t="s">
        <x:v>707</x:v>
      </x:c>
      <x:c r="L139" s="250" t="s">
        <x:v>719</x:v>
      </x:c>
      <x:c r="M139" s="251" t="s">
        <x:v>694</x:v>
      </x:c>
      <x:c r="O139" s="240"/>
      <x:c r="P139" s="206" t="s">
        <x:v>726</x:v>
      </x:c>
    </x:row>
    <x:row r="140" spans="1:16" customHeight="1">
      <x:c r="A140" s="194" t="s">
        <x:v>995</x:v>
      </x:c>
      <x:c r="B140" s="318" t="s">
        <x:v>2022</x:v>
      </x:c>
      <x:c r="C140" s="283" t="s">
        <x:v>57</x:v>
      </x:c>
      <x:c r="D140" s="20"/>
      <x:c r="E140" s="575" t="s">
        <x:v>57</x:v>
      </x:c>
      <x:c r="F140" s="576" t="s">
        <x:v>995</x:v>
      </x:c>
      <x:c r="G140" s="577" t="s">
        <x:v>2022</x:v>
      </x:c>
      <x:c r="H140" s="578" t="s">
        <x:v>277</x:v>
      </x:c>
      <x:c r="I140" s="579" t="s">
        <x:v>1188</x:v>
      </x:c>
      <x:c r="K140" s="252" t="s">
        <x:v>724</x:v>
      </x:c>
      <x:c r="L140" s="253" t="s">
        <x:v>719</x:v>
      </x:c>
      <x:c r="M140" s="254" t="s">
        <x:v>697</x:v>
      </x:c>
      <x:c r="O140" s="240" t="s">
        <x:v>819</x:v>
      </x:c>
      <x:c r="P140" s="207" t="s">
        <x:v>893</x:v>
      </x:c>
    </x:row>
    <x:row r="141" spans="1:16" customHeight="1">
      <x:c r="A141" s="194" t="s">
        <x:v>996</x:v>
      </x:c>
      <x:c r="B141" s="318" t="s">
        <x:v>2022</x:v>
      </x:c>
      <x:c r="C141" s="283" t="s">
        <x:v>57</x:v>
      </x:c>
      <x:c r="D141" s="20"/>
      <x:c r="E141" s="272" t="s">
        <x:v>57</x:v>
      </x:c>
      <x:c r="F141" s="276" t="s">
        <x:v>996</x:v>
      </x:c>
      <x:c r="G141" s="577" t="s">
        <x:v>2022</x:v>
      </x:c>
      <x:c r="H141" s="578" t="s">
        <x:v>287</x:v>
      </x:c>
      <x:c r="I141" s="584" t="s">
        <x:v>1199</x:v>
      </x:c>
      <x:c r="K141" s="255" t="s">
        <x:v>701</x:v>
      </x:c>
      <x:c r="L141" s="256" t="s">
        <x:v>719</x:v>
      </x:c>
      <x:c r="M141" s="257" t="s">
        <x:v>138</x:v>
      </x:c>
      <x:c r="O141" s="240" t="s">
        <x:v>1275</x:v>
      </x:c>
      <x:c r="P141" s="207" t="s">
        <x:v>1267</x:v>
      </x:c>
    </x:row>
    <x:row r="142" spans="1:16" customHeight="1">
      <x:c r="A142" s="194" t="s">
        <x:v>984</x:v>
      </x:c>
      <x:c r="B142" s="318" t="s">
        <x:v>2022</x:v>
      </x:c>
      <x:c r="C142" s="283" t="s">
        <x:v>57</x:v>
      </x:c>
      <x:c r="D142" s="20"/>
      <x:c r="E142" s="575" t="s">
        <x:v>57</x:v>
      </x:c>
      <x:c r="F142" s="576" t="s">
        <x:v>984</x:v>
      </x:c>
      <x:c r="G142" s="577" t="s">
        <x:v>2022</x:v>
      </x:c>
      <x:c r="H142" s="578" t="s">
        <x:v>301</x:v>
      </x:c>
      <x:c r="I142" s="579" t="s">
        <x:v>1185</x:v>
      </x:c>
      <x:c r="K142" s="249" t="s">
        <x:v>721</x:v>
      </x:c>
      <x:c r="L142" s="250" t="s">
        <x:v>92</x:v>
      </x:c>
      <x:c r="M142" s="251" t="s">
        <x:v>718</x:v>
      </x:c>
      <x:c r="O142" s="240" t="s">
        <x:v>1266</x:v>
      </x:c>
      <x:c r="P142" s="207" t="s">
        <x:v>1300</x:v>
      </x:c>
    </x:row>
    <x:row r="143" spans="1:16" customHeight="1">
      <x:c r="A143" s="194" t="s">
        <x:v>2024</x:v>
      </x:c>
      <x:c r="B143" s="318" t="s">
        <x:v>2022</x:v>
      </x:c>
      <x:c r="C143" s="283" t="s">
        <x:v>57</x:v>
      </x:c>
      <x:c r="D143" s="20"/>
      <x:c r="E143" s="575" t="s">
        <x:v>57</x:v>
      </x:c>
      <x:c r="F143" s="576" t="s">
        <x:v>2024</x:v>
      </x:c>
      <x:c r="G143" s="577" t="s">
        <x:v>2022</x:v>
      </x:c>
      <x:c r="H143" s="578" t="s">
        <x:v>291</x:v>
      </x:c>
      <x:c r="I143" s="579" t="s">
        <x:v>1194</x:v>
      </x:c>
      <x:c r="K143" s="252" t="s">
        <x:v>699</x:v>
      </x:c>
      <x:c r="L143" s="253" t="s">
        <x:v>92</x:v>
      </x:c>
      <x:c r="M143" s="254" t="s">
        <x:v>1567</x:v>
      </x:c>
      <x:c r="O143" s="240"/>
      <x:c r="P143" s="206" t="s">
        <x:v>1609</x:v>
      </x:c>
    </x:row>
    <x:row r="144" spans="1:16" customHeight="1">
      <x:c r="A144" s="194" t="s">
        <x:v>973</x:v>
      </x:c>
      <x:c r="B144" s="318" t="s">
        <x:v>2005</x:v>
      </x:c>
      <x:c r="C144" s="283" t="s">
        <x:v>57</x:v>
      </x:c>
      <x:c r="D144" s="20"/>
      <x:c r="E144" s="575" t="s">
        <x:v>57</x:v>
      </x:c>
      <x:c r="F144" s="576" t="s">
        <x:v>973</x:v>
      </x:c>
      <x:c r="G144" s="577" t="s">
        <x:v>2005</x:v>
      </x:c>
      <x:c r="H144" s="578" t="s">
        <x:v>278</x:v>
      </x:c>
      <x:c r="I144" s="579" t="s">
        <x:v>1189</x:v>
      </x:c>
      <x:c r="K144" s="255" t="s">
        <x:v>715</x:v>
      </x:c>
      <x:c r="L144" s="256" t="s">
        <x:v>92</x:v>
      </x:c>
      <x:c r="M144" s="257" t="s">
        <x:v>711</x:v>
      </x:c>
      <x:c r="O144" s="240" t="s">
        <x:v>813</x:v>
      </x:c>
      <x:c r="P144" s="207" t="s">
        <x:v>1476</x:v>
      </x:c>
    </x:row>
    <x:row r="145" spans="1:16" customHeight="1">
      <x:c r="A145" s="194" t="s">
        <x:v>950</x:v>
      </x:c>
      <x:c r="B145" s="318" t="s">
        <x:v>2022</x:v>
      </x:c>
      <x:c r="C145" s="283" t="s">
        <x:v>57</x:v>
      </x:c>
      <x:c r="D145" s="20"/>
      <x:c r="E145" s="575" t="s">
        <x:v>57</x:v>
      </x:c>
      <x:c r="F145" s="576" t="s">
        <x:v>950</x:v>
      </x:c>
      <x:c r="G145" s="577" t="s">
        <x:v>2022</x:v>
      </x:c>
      <x:c r="H145" s="578" t="s">
        <x:v>298</x:v>
      </x:c>
      <x:c r="I145" s="579" t="s">
        <x:v>1196</x:v>
      </x:c>
      <x:c r="K145" s="249" t="s">
        <x:v>716</x:v>
      </x:c>
      <x:c r="L145" s="250" t="s">
        <x:v>720</x:v>
      </x:c>
      <x:c r="M145" s="251" t="s">
        <x:v>52</x:v>
      </x:c>
      <x:c r="O145" s="240" t="s">
        <x:v>815</x:v>
      </x:c>
      <x:c r="P145" s="207" t="s">
        <x:v>1475</x:v>
      </x:c>
    </x:row>
    <x:row r="146" spans="1:16" customHeight="1">
      <x:c r="A146" s="193" t="s">
        <x:v>2017</x:v>
      </x:c>
      <x:c r="B146" s="316" t="s">
        <x:v>2005</x:v>
      </x:c>
      <x:c r="C146" s="291" t="s">
        <x:v>57</x:v>
      </x:c>
      <x:c r="D146" s="20"/>
      <x:c r="E146" s="565" t="s">
        <x:v>57</x:v>
      </x:c>
      <x:c r="F146" s="566" t="s">
        <x:v>2017</x:v>
      </x:c>
      <x:c r="G146" s="567" t="s">
        <x:v>2005</x:v>
      </x:c>
      <x:c r="H146" s="568" t="s">
        <x:v>305</x:v>
      </x:c>
      <x:c r="I146" s="569" t="s">
        <x:v>1172</x:v>
      </x:c>
      <x:c r="K146" s="252" t="s">
        <x:v>717</x:v>
      </x:c>
      <x:c r="L146" s="253" t="s">
        <x:v>720</x:v>
      </x:c>
      <x:c r="M146" s="254" t="s">
        <x:v>50</x:v>
      </x:c>
      <x:c r="O146" s="240" t="s">
        <x:v>795</x:v>
      </x:c>
      <x:c r="P146" s="207" t="s">
        <x:v>1474</x:v>
      </x:c>
    </x:row>
    <x:row r="147" spans="1:16" customHeight="1">
      <x:c r="A147" s="192" t="s">
        <x:v>953</x:v>
      </x:c>
      <x:c r="B147" s="315" t="s">
        <x:v>61</x:v>
      </x:c>
      <x:c r="C147" s="290" t="s">
        <x:v>965</x:v>
      </x:c>
      <x:c r="D147" s="20"/>
      <x:c r="E147" s="560" t="s">
        <x:v>965</x:v>
      </x:c>
      <x:c r="F147" s="561" t="s">
        <x:v>953</x:v>
      </x:c>
      <x:c r="G147" s="562" t="s">
        <x:v>61</x:v>
      </x:c>
      <x:c r="H147" s="563" t="s">
        <x:v>293</x:v>
      </x:c>
      <x:c r="I147" s="564" t="s">
        <x:v>1174</x:v>
      </x:c>
      <x:c r="K147" s="252" t="s">
        <x:v>709</x:v>
      </x:c>
      <x:c r="L147" s="253" t="s">
        <x:v>720</x:v>
      </x:c>
      <x:c r="M147" s="254" t="s">
        <x:v>937</x:v>
      </x:c>
      <x:c r="O147" s="240"/>
      <x:c r="P147" s="206" t="s">
        <x:v>1600</x:v>
      </x:c>
    </x:row>
    <x:row r="148" spans="1:16" customHeight="1">
      <x:c r="A148" s="194" t="s">
        <x:v>964</x:v>
      </x:c>
      <x:c r="B148" s="318" t="s">
        <x:v>61</x:v>
      </x:c>
      <x:c r="C148" s="283" t="s">
        <x:v>965</x:v>
      </x:c>
      <x:c r="D148" s="20"/>
      <x:c r="E148" s="575" t="s">
        <x:v>965</x:v>
      </x:c>
      <x:c r="F148" s="576" t="s">
        <x:v>964</x:v>
      </x:c>
      <x:c r="G148" s="577" t="s">
        <x:v>61</x:v>
      </x:c>
      <x:c r="H148" s="578" t="s">
        <x:v>307</x:v>
      </x:c>
      <x:c r="I148" s="579" t="s">
        <x:v>1195</x:v>
      </x:c>
      <x:c r="K148" s="255" t="s">
        <x:v>704</x:v>
      </x:c>
      <x:c r="L148" s="256" t="s">
        <x:v>720</x:v>
      </x:c>
      <x:c r="M148" s="257" t="s">
        <x:v>129</x:v>
      </x:c>
      <x:c r="O148" s="240" t="s">
        <x:v>794</x:v>
      </x:c>
      <x:c r="P148" s="207" t="s">
        <x:v>1471</x:v>
      </x:c>
    </x:row>
    <x:row r="149" spans="1:16" customHeight="1">
      <x:c r="A149" s="194" t="s">
        <x:v>971</x:v>
      </x:c>
      <x:c r="B149" s="318" t="s">
        <x:v>61</x:v>
      </x:c>
      <x:c r="C149" s="283" t="s">
        <x:v>965</x:v>
      </x:c>
      <x:c r="D149" s="20"/>
      <x:c r="E149" s="575" t="s">
        <x:v>965</x:v>
      </x:c>
      <x:c r="F149" s="576" t="s">
        <x:v>971</x:v>
      </x:c>
      <x:c r="G149" s="577" t="s">
        <x:v>61</x:v>
      </x:c>
      <x:c r="H149" s="578" t="s">
        <x:v>304</x:v>
      </x:c>
      <x:c r="I149" s="579" t="s">
        <x:v>1184</x:v>
      </x:c>
      <x:c r="O149" s="240" t="s">
        <x:v>898</x:v>
      </x:c>
      <x:c r="P149" s="207" t="s">
        <x:v>1625</x:v>
      </x:c>
    </x:row>
    <x:row r="150" spans="1:16" customHeight="1">
      <x:c r="A150" s="194" t="s">
        <x:v>55</x:v>
      </x:c>
      <x:c r="B150" s="318" t="s">
        <x:v>61</x:v>
      </x:c>
      <x:c r="C150" s="283" t="s">
        <x:v>965</x:v>
      </x:c>
      <x:c r="D150" s="20"/>
      <x:c r="E150" s="575" t="s">
        <x:v>965</x:v>
      </x:c>
      <x:c r="F150" s="576" t="s">
        <x:v>55</x:v>
      </x:c>
      <x:c r="G150" s="577" t="s">
        <x:v>61</x:v>
      </x:c>
      <x:c r="H150" s="578" t="s">
        <x:v>279</x:v>
      </x:c>
      <x:c r="I150" s="579" t="s">
        <x:v>1201</x:v>
      </x:c>
      <x:c r="O150" s="240" t="s">
        <x:v>817</x:v>
      </x:c>
      <x:c r="P150" s="207" t="s">
        <x:v>1623</x:v>
      </x:c>
    </x:row>
    <x:row r="151" spans="1:16" customHeight="1">
      <x:c r="A151" s="193" t="s">
        <x:v>951</x:v>
      </x:c>
      <x:c r="B151" s="316" t="s">
        <x:v>61</x:v>
      </x:c>
      <x:c r="C151" s="291" t="s">
        <x:v>965</x:v>
      </x:c>
      <x:c r="D151" s="20"/>
      <x:c r="E151" s="565" t="s">
        <x:v>965</x:v>
      </x:c>
      <x:c r="F151" s="566" t="s">
        <x:v>951</x:v>
      </x:c>
      <x:c r="G151" s="567" t="s">
        <x:v>61</x:v>
      </x:c>
      <x:c r="H151" s="568" t="s">
        <x:v>280</x:v>
      </x:c>
      <x:c r="I151" s="569" t="s">
        <x:v>1190</x:v>
      </x:c>
      <x:c r="O151" s="240" t="s">
        <x:v>896</x:v>
      </x:c>
      <x:c r="P151" s="207" t="s">
        <x:v>1622</x:v>
      </x:c>
    </x:row>
    <x:row r="152" spans="1:16" customHeight="1">
      <x:c r="A152" s="192" t="s">
        <x:v>998</x:v>
      </x:c>
      <x:c r="B152" s="315" t="s">
        <x:v>519</x:v>
      </x:c>
      <x:c r="C152" s="290" t="s">
        <x:v>1004</x:v>
      </x:c>
      <x:c r="D152" s="20"/>
      <x:c r="E152" s="585" t="s">
        <x:v>1004</x:v>
      </x:c>
      <x:c r="F152" s="586" t="s">
        <x:v>998</x:v>
      </x:c>
      <x:c r="G152" s="587" t="s">
        <x:v>519</x:v>
      </x:c>
      <x:c r="H152" s="563" t="s">
        <x:v>306</x:v>
      </x:c>
      <x:c r="I152" s="564" t="s">
        <x:v>1187</x:v>
      </x:c>
      <x:c r="O152" s="240"/>
      <x:c r="P152" s="206" t="s">
        <x:v>1608</x:v>
      </x:c>
    </x:row>
    <x:row r="153" spans="1:16" customHeight="1">
      <x:c r="A153" s="194" t="s">
        <x:v>59</x:v>
      </x:c>
      <x:c r="B153" s="318" t="s">
        <x:v>519</x:v>
      </x:c>
      <x:c r="C153" s="283" t="s">
        <x:v>1004</x:v>
      </x:c>
      <x:c r="D153" s="20"/>
      <x:c r="E153" s="575" t="s">
        <x:v>1004</x:v>
      </x:c>
      <x:c r="F153" s="576" t="s">
        <x:v>59</x:v>
      </x:c>
      <x:c r="G153" s="577" t="s">
        <x:v>519</x:v>
      </x:c>
      <x:c r="H153" s="578" t="s">
        <x:v>281</x:v>
      </x:c>
      <x:c r="I153" s="579" t="s">
        <x:v>1182</x:v>
      </x:c>
      <x:c r="O153" s="240" t="s">
        <x:v>806</x:v>
      </x:c>
      <x:c r="P153" s="207" t="s">
        <x:v>837</x:v>
      </x:c>
    </x:row>
    <x:row r="154" spans="1:16" customHeight="1">
      <x:c r="A154" s="194" t="s">
        <x:v>54</x:v>
      </x:c>
      <x:c r="B154" s="318" t="s">
        <x:v>519</x:v>
      </x:c>
      <x:c r="C154" s="283" t="s">
        <x:v>1004</x:v>
      </x:c>
      <x:c r="D154" s="20"/>
      <x:c r="E154" s="575" t="s">
        <x:v>1004</x:v>
      </x:c>
      <x:c r="F154" s="576" t="s">
        <x:v>54</x:v>
      </x:c>
      <x:c r="G154" s="577" t="s">
        <x:v>519</x:v>
      </x:c>
      <x:c r="H154" s="578" t="s">
        <x:v>283</x:v>
      </x:c>
      <x:c r="I154" s="579" t="s">
        <x:v>1197</x:v>
      </x:c>
      <x:c r="O154" s="240"/>
      <x:c r="P154" s="206" t="s">
        <x:v>1506</x:v>
      </x:c>
    </x:row>
    <x:row r="155" spans="1:16" customHeight="1">
      <x:c r="A155" s="287" t="s">
        <x:v>532</x:v>
      </x:c>
      <x:c r="B155" s="314" t="s">
        <x:v>519</x:v>
      </x:c>
      <x:c r="C155" s="288" t="s">
        <x:v>1004</x:v>
      </x:c>
      <x:c r="D155" s="20"/>
      <x:c r="E155" s="565" t="s">
        <x:v>1004</x:v>
      </x:c>
      <x:c r="F155" s="566" t="s">
        <x:v>532</x:v>
      </x:c>
      <x:c r="G155" s="567" t="s">
        <x:v>519</x:v>
      </x:c>
      <x:c r="H155" s="568" t="s">
        <x:v>284</x:v>
      </x:c>
      <x:c r="I155" s="569" t="s">
        <x:v>1175</x:v>
      </x:c>
      <x:c r="O155" s="240" t="s">
        <x:v>894</x:v>
      </x:c>
      <x:c r="P155" s="207" t="s">
        <x:v>1505</x:v>
      </x:c>
    </x:row>
    <x:row r="156" spans="1:16" customHeight="1">
      <x:c r="A156" s="192" t="s">
        <x:v>1948</x:v>
      </x:c>
      <x:c r="B156" s="315" t="s">
        <x:v>1938</x:v>
      </x:c>
      <x:c r="C156" s="290" t="s">
        <x:v>484</x:v>
      </x:c>
      <x:c r="D156" s="20"/>
      <x:c r="E156" s="560" t="s">
        <x:v>484</x:v>
      </x:c>
      <x:c r="F156" s="561" t="s">
        <x:v>1948</x:v>
      </x:c>
      <x:c r="G156" s="562" t="s">
        <x:v>1938</x:v>
      </x:c>
      <x:c r="H156" s="563" t="s">
        <x:v>288</x:v>
      </x:c>
      <x:c r="I156" s="564" t="s">
        <x:v>1193</x:v>
      </x:c>
      <x:c r="O156" s="240" t="s">
        <x:v>890</x:v>
      </x:c>
      <x:c r="P156" s="207" t="s">
        <x:v>1507</x:v>
      </x:c>
    </x:row>
    <x:row r="157" spans="1:16" customHeight="1">
      <x:c r="A157" s="194" t="s">
        <x:v>1007</x:v>
      </x:c>
      <x:c r="B157" s="318" t="s">
        <x:v>1938</x:v>
      </x:c>
      <x:c r="C157" s="283" t="s">
        <x:v>484</x:v>
      </x:c>
      <x:c r="D157" s="20"/>
      <x:c r="E157" s="575" t="s">
        <x:v>484</x:v>
      </x:c>
      <x:c r="F157" s="576" t="s">
        <x:v>1007</x:v>
      </x:c>
      <x:c r="G157" s="577" t="s">
        <x:v>1938</x:v>
      </x:c>
      <x:c r="H157" s="578" t="s">
        <x:v>315</x:v>
      </x:c>
      <x:c r="I157" s="579" t="s">
        <x:v>1170</x:v>
      </x:c>
      <x:c r="O157" s="240"/>
      <x:c r="P157" s="205" t="s">
        <x:v>1603</x:v>
      </x:c>
    </x:row>
    <x:row r="158" spans="1:16" customHeight="1">
      <x:c r="A158" s="284" t="s">
        <x:v>518</x:v>
      </x:c>
      <x:c r="B158" s="318" t="s">
        <x:v>1938</x:v>
      </x:c>
      <x:c r="C158" s="283" t="s">
        <x:v>484</x:v>
      </x:c>
      <x:c r="D158" s="20"/>
      <x:c r="E158" s="575" t="s">
        <x:v>484</x:v>
      </x:c>
      <x:c r="F158" s="576" t="s">
        <x:v>518</x:v>
      </x:c>
      <x:c r="G158" s="577" t="s">
        <x:v>1938</x:v>
      </x:c>
      <x:c r="H158" s="578" t="s">
        <x:v>317</x:v>
      </x:c>
      <x:c r="I158" s="579" t="s">
        <x:v>1171</x:v>
      </x:c>
      <x:c r="O158" s="240"/>
      <x:c r="P158" s="206" t="s">
        <x:v>733</x:v>
      </x:c>
    </x:row>
    <x:row r="159" spans="1:16" customHeight="1">
      <x:c r="A159" s="284" t="s">
        <x:v>520</x:v>
      </x:c>
      <x:c r="B159" s="318" t="s">
        <x:v>1938</x:v>
      </x:c>
      <x:c r="C159" s="283" t="s">
        <x:v>484</x:v>
      </x:c>
      <x:c r="D159" s="20"/>
      <x:c r="E159" s="575" t="s">
        <x:v>484</x:v>
      </x:c>
      <x:c r="F159" s="576" t="s">
        <x:v>520</x:v>
      </x:c>
      <x:c r="G159" s="577" t="s">
        <x:v>1938</x:v>
      </x:c>
      <x:c r="H159" s="578" t="s">
        <x:v>319</x:v>
      </x:c>
      <x:c r="I159" s="579" t="s">
        <x:v>1191</x:v>
      </x:c>
      <x:c r="O159" s="240" t="s">
        <x:v>816</x:v>
      </x:c>
      <x:c r="P159" s="207" t="s">
        <x:v>1480</x:v>
      </x:c>
    </x:row>
    <x:row r="160" spans="1:16" customHeight="1">
      <x:c r="A160" s="284" t="s">
        <x:v>888</x:v>
      </x:c>
      <x:c r="B160" s="318" t="s">
        <x:v>1938</x:v>
      </x:c>
      <x:c r="C160" s="283" t="s">
        <x:v>484</x:v>
      </x:c>
      <x:c r="D160" s="20"/>
      <x:c r="E160" s="575" t="s">
        <x:v>484</x:v>
      </x:c>
      <x:c r="F160" s="576" t="s">
        <x:v>888</x:v>
      </x:c>
      <x:c r="G160" s="577" t="s">
        <x:v>1938</x:v>
      </x:c>
      <x:c r="H160" s="578" t="s">
        <x:v>328</x:v>
      </x:c>
      <x:c r="I160" s="579" t="s">
        <x:v>1173</x:v>
      </x:c>
      <x:c r="O160" s="240" t="s">
        <x:v>800</x:v>
      </x:c>
      <x:c r="P160" s="207" t="s">
        <x:v>1473</x:v>
      </x:c>
    </x:row>
    <x:row r="161" spans="1:16" customHeight="1">
      <x:c r="A161" s="284" t="s">
        <x:v>58</x:v>
      </x:c>
      <x:c r="B161" s="318" t="s">
        <x:v>1938</x:v>
      </x:c>
      <x:c r="C161" s="283" t="s">
        <x:v>484</x:v>
      </x:c>
      <x:c r="D161" s="20"/>
      <x:c r="E161" s="575" t="s">
        <x:v>484</x:v>
      </x:c>
      <x:c r="F161" s="276" t="s">
        <x:v>58</x:v>
      </x:c>
      <x:c r="G161" s="577" t="s">
        <x:v>1938</x:v>
      </x:c>
      <x:c r="H161" s="578" t="s">
        <x:v>320</x:v>
      </x:c>
      <x:c r="I161" s="579" t="s">
        <x:v>1176</x:v>
      </x:c>
      <x:c r="O161" s="240" t="s">
        <x:v>790</x:v>
      </x:c>
      <x:c r="P161" s="207" t="s">
        <x:v>1472</x:v>
      </x:c>
    </x:row>
    <x:row r="162" spans="1:16" customHeight="1">
      <x:c r="A162" s="194" t="s">
        <x:v>889</x:v>
      </x:c>
      <x:c r="B162" s="318" t="s">
        <x:v>1938</x:v>
      </x:c>
      <x:c r="C162" s="283" t="s">
        <x:v>484</x:v>
      </x:c>
      <x:c r="D162" s="20"/>
      <x:c r="E162" s="575" t="s">
        <x:v>484</x:v>
      </x:c>
      <x:c r="F162" s="276" t="s">
        <x:v>889</x:v>
      </x:c>
      <x:c r="G162" s="577" t="s">
        <x:v>1938</x:v>
      </x:c>
      <x:c r="H162" s="578" t="s">
        <x:v>322</x:v>
      </x:c>
      <x:c r="I162" s="579" t="s">
        <x:v>1178</x:v>
      </x:c>
      <x:c r="O162" s="240" t="s">
        <x:v>912</x:v>
      </x:c>
      <x:c r="P162" s="207" t="s">
        <x:v>852</x:v>
      </x:c>
    </x:row>
    <x:row r="163" spans="1:16" customHeight="1">
      <x:c r="A163" s="194" t="s">
        <x:v>934</x:v>
      </x:c>
      <x:c r="B163" s="318" t="s">
        <x:v>1938</x:v>
      </x:c>
      <x:c r="C163" s="283" t="s">
        <x:v>484</x:v>
      </x:c>
      <x:c r="D163" s="29"/>
      <x:c r="E163" s="575" t="s">
        <x:v>484</x:v>
      </x:c>
      <x:c r="F163" s="276" t="s">
        <x:v>934</x:v>
      </x:c>
      <x:c r="G163" s="577" t="s">
        <x:v>1938</x:v>
      </x:c>
      <x:c r="H163" s="578" t="s">
        <x:v>327</x:v>
      </x:c>
      <x:c r="I163" s="579" t="s">
        <x:v>1179</x:v>
      </x:c>
      <x:c r="O163" s="240" t="s">
        <x:v>798</x:v>
      </x:c>
      <x:c r="P163" s="207" t="s">
        <x:v>1510</x:v>
      </x:c>
    </x:row>
    <x:row r="164" spans="1:16" customHeight="1">
      <x:c r="A164" s="193" t="s">
        <x:v>947</x:v>
      </x:c>
      <x:c r="B164" s="316" t="s">
        <x:v>1938</x:v>
      </x:c>
      <x:c r="C164" s="291" t="s">
        <x:v>484</x:v>
      </x:c>
      <x:c r="D164" s="29"/>
      <x:c r="E164" s="588" t="s">
        <x:v>484</x:v>
      </x:c>
      <x:c r="F164" s="589" t="s">
        <x:v>947</x:v>
      </x:c>
      <x:c r="G164" s="590" t="s">
        <x:v>1938</x:v>
      </x:c>
      <x:c r="H164" s="568" t="s">
        <x:v>324</x:v>
      </x:c>
      <x:c r="I164" s="569" t="s">
        <x:v>1180</x:v>
      </x:c>
      <x:c r="O164" s="240"/>
      <x:c r="P164" s="206" t="s">
        <x:v>1617</x:v>
      </x:c>
    </x:row>
    <x:row r="165" spans="1:16" customHeight="1">
      <x:c r="A165" s="192" t="s">
        <x:v>451</x:v>
      </x:c>
      <x:c r="B165" s="315" t="s">
        <x:v>1938</x:v>
      </x:c>
      <x:c r="C165" s="290" t="s">
        <x:v>484</x:v>
      </x:c>
      <x:c r="D165" s="29"/>
      <x:c r="E165" s="560" t="s">
        <x:v>484</x:v>
      </x:c>
      <x:c r="F165" s="561" t="s">
        <x:v>451</x:v>
      </x:c>
      <x:c r="G165" s="562" t="s">
        <x:v>1938</x:v>
      </x:c>
      <x:c r="H165" s="563" t="s">
        <x:v>321</x:v>
      </x:c>
      <x:c r="I165" s="564" t="s">
        <x:v>1181</x:v>
      </x:c>
      <x:c r="O165" s="240" t="s">
        <x:v>917</x:v>
      </x:c>
      <x:c r="P165" s="207" t="s">
        <x:v>833</x:v>
      </x:c>
    </x:row>
    <x:row r="166" spans="1:17" customHeight="1">
      <x:c r="A166" s="284" t="s">
        <x:v>24</x:v>
      </x:c>
      <x:c r="B166" s="318" t="s">
        <x:v>1938</x:v>
      </x:c>
      <x:c r="C166" s="283" t="s">
        <x:v>484</x:v>
      </x:c>
      <x:c r="D166" s="20"/>
      <x:c r="E166" s="575" t="s">
        <x:v>484</x:v>
      </x:c>
      <x:c r="F166" s="576" t="s">
        <x:v>24</x:v>
      </x:c>
      <x:c r="G166" s="577" t="s">
        <x:v>1938</x:v>
      </x:c>
      <x:c r="H166" s="578" t="s">
        <x:v>318</x:v>
      </x:c>
      <x:c r="I166" s="579" t="s">
        <x:v>1183</x:v>
      </x:c>
      <x:c r="O166" s="240" t="s">
        <x:v>797</x:v>
      </x:c>
      <x:c r="P166" s="207" t="s">
        <x:v>1638</x:v>
      </x:c>
      <x:c r="Q166" s="553" t="s">
        <x:v>879</x:v>
      </x:c>
    </x:row>
    <x:row r="167" spans="1:16" customHeight="1">
      <x:c r="A167" s="194" t="s">
        <x:v>1940</x:v>
      </x:c>
      <x:c r="B167" s="318" t="s">
        <x:v>1938</x:v>
      </x:c>
      <x:c r="C167" s="283" t="s">
        <x:v>484</x:v>
      </x:c>
      <x:c r="D167" s="20"/>
      <x:c r="E167" s="575" t="s">
        <x:v>484</x:v>
      </x:c>
      <x:c r="F167" s="576" t="s">
        <x:v>1940</x:v>
      </x:c>
      <x:c r="G167" s="577" t="s">
        <x:v>1938</x:v>
      </x:c>
      <x:c r="H167" s="578" t="s">
        <x:v>325</x:v>
      </x:c>
      <x:c r="I167" s="579" t="s">
        <x:v>1224</x:v>
      </x:c>
      <x:c r="O167" s="240" t="s">
        <x:v>913</x:v>
      </x:c>
      <x:c r="P167" s="207" t="s">
        <x:v>1478</x:v>
      </x:c>
    </x:row>
    <x:row r="168" spans="1:16" customHeight="1">
      <x:c r="A168" s="193" t="s">
        <x:v>108</x:v>
      </x:c>
      <x:c r="B168" s="316" t="s">
        <x:v>1938</x:v>
      </x:c>
      <x:c r="C168" s="291" t="s">
        <x:v>484</x:v>
      </x:c>
      <x:c r="D168" s="20"/>
      <x:c r="E168" s="565" t="s">
        <x:v>484</x:v>
      </x:c>
      <x:c r="F168" s="566" t="s">
        <x:v>108</x:v>
      </x:c>
      <x:c r="G168" s="567" t="s">
        <x:v>1938</x:v>
      </x:c>
      <x:c r="H168" s="568" t="s">
        <x:v>323</x:v>
      </x:c>
      <x:c r="I168" s="569" t="s">
        <x:v>1213</x:v>
      </x:c>
      <x:c r="O168" s="241" t="s">
        <x:v>818</x:v>
      </x:c>
      <x:c r="P168" s="209" t="s">
        <x:v>1479</x:v>
      </x:c>
    </x:row>
    <x:row r="169" spans="1:9" customHeight="1">
      <x:c r="A169" s="192" t="s">
        <x:v>107</x:v>
      </x:c>
      <x:c r="B169" s="315" t="s">
        <x:v>1938</x:v>
      </x:c>
      <x:c r="C169" s="290" t="s">
        <x:v>484</x:v>
      </x:c>
      <x:c r="D169" s="20"/>
      <x:c r="E169" s="560" t="s">
        <x:v>484</x:v>
      </x:c>
      <x:c r="F169" s="274" t="s">
        <x:v>107</x:v>
      </x:c>
      <x:c r="G169" s="562" t="s">
        <x:v>1938</x:v>
      </x:c>
      <x:c r="H169" s="563" t="s">
        <x:v>312</x:v>
      </x:c>
      <x:c r="I169" s="564" t="s">
        <x:v>1230</x:v>
      </x:c>
    </x:row>
    <x:row r="170" spans="1:9" customHeight="1">
      <x:c r="A170" s="194" t="s">
        <x:v>60</x:v>
      </x:c>
      <x:c r="B170" s="318" t="s">
        <x:v>1938</x:v>
      </x:c>
      <x:c r="C170" s="283" t="s">
        <x:v>484</x:v>
      </x:c>
      <x:c r="D170" s="20"/>
      <x:c r="E170" s="575" t="s">
        <x:v>484</x:v>
      </x:c>
      <x:c r="F170" s="576" t="s">
        <x:v>60</x:v>
      </x:c>
      <x:c r="G170" s="577" t="s">
        <x:v>1938</x:v>
      </x:c>
      <x:c r="H170" s="578" t="s">
        <x:v>326</x:v>
      </x:c>
      <x:c r="I170" s="579" t="s">
        <x:v>1217</x:v>
      </x:c>
    </x:row>
    <x:row r="171" spans="1:9" customHeight="1">
      <x:c r="A171" s="193" t="s">
        <x:v>1665</x:v>
      </x:c>
      <x:c r="B171" s="316" t="s">
        <x:v>1938</x:v>
      </x:c>
      <x:c r="C171" s="291" t="s">
        <x:v>484</x:v>
      </x:c>
      <x:c r="D171" s="20"/>
      <x:c r="E171" s="588" t="s">
        <x:v>484</x:v>
      </x:c>
      <x:c r="F171" s="591" t="s">
        <x:v>1665</x:v>
      </x:c>
      <x:c r="G171" s="590" t="s">
        <x:v>1938</x:v>
      </x:c>
      <x:c r="H171" s="568" t="s">
        <x:v>329</x:v>
      </x:c>
      <x:c r="I171" s="569" t="s">
        <x:v>1215</x:v>
      </x:c>
    </x:row>
    <x:row r="172" spans="1:9" customHeight="1">
      <x:c r="A172" s="292" t="s">
        <x:v>492</x:v>
      </x:c>
      <x:c r="B172" s="319" t="s">
        <x:v>1938</x:v>
      </x:c>
      <x:c r="C172" s="293" t="s">
        <x:v>484</x:v>
      </x:c>
      <x:c r="D172" s="20"/>
      <x:c r="E172" s="570" t="s">
        <x:v>484</x:v>
      </x:c>
      <x:c r="F172" s="571" t="s">
        <x:v>492</x:v>
      </x:c>
      <x:c r="G172" s="572" t="s">
        <x:v>1938</x:v>
      </x:c>
      <x:c r="H172" s="592" t="s">
        <x:v>316</x:v>
      </x:c>
      <x:c r="I172" s="593" t="s">
        <x:v>1220</x:v>
      </x:c>
    </x:row>
    <x:row r="173" spans="1:9" customHeight="1">
      <x:c r="A173" s="292" t="s">
        <x:v>471</x:v>
      </x:c>
      <x:c r="B173" s="319" t="s">
        <x:v>1938</x:v>
      </x:c>
      <x:c r="C173" s="293" t="s">
        <x:v>484</x:v>
      </x:c>
      <x:c r="D173" s="20"/>
      <x:c r="E173" s="570" t="s">
        <x:v>484</x:v>
      </x:c>
      <x:c r="F173" s="571" t="s">
        <x:v>471</x:v>
      </x:c>
      <x:c r="G173" s="572" t="s">
        <x:v>1938</x:v>
      </x:c>
      <x:c r="H173" s="573" t="s">
        <x:v>336</x:v>
      </x:c>
      <x:c r="I173" s="574" t="s">
        <x:v>1218</x:v>
      </x:c>
    </x:row>
    <x:row r="174" spans="1:9" customHeight="1">
      <x:c r="A174" s="292" t="s">
        <x:v>494</x:v>
      </x:c>
      <x:c r="B174" s="319" t="s">
        <x:v>1938</x:v>
      </x:c>
      <x:c r="C174" s="293" t="s">
        <x:v>484</x:v>
      </x:c>
      <x:c r="D174" s="20"/>
      <x:c r="E174" s="570" t="s">
        <x:v>484</x:v>
      </x:c>
      <x:c r="F174" s="571" t="s">
        <x:v>494</x:v>
      </x:c>
      <x:c r="G174" s="572" t="s">
        <x:v>1938</x:v>
      </x:c>
      <x:c r="H174" s="573" t="s">
        <x:v>330</x:v>
      </x:c>
      <x:c r="I174" s="574" t="s">
        <x:v>1214</x:v>
      </x:c>
    </x:row>
    <x:row r="175" spans="1:9" customHeight="1">
      <x:c r="A175" s="192" t="s">
        <x:v>1945</x:v>
      </x:c>
      <x:c r="B175" s="315" t="s">
        <x:v>1938</x:v>
      </x:c>
      <x:c r="C175" s="290" t="s">
        <x:v>484</x:v>
      </x:c>
      <x:c r="D175" s="20"/>
      <x:c r="E175" s="560" t="s">
        <x:v>484</x:v>
      </x:c>
      <x:c r="F175" s="561" t="s">
        <x:v>1945</x:v>
      </x:c>
      <x:c r="G175" s="562" t="s">
        <x:v>1938</x:v>
      </x:c>
      <x:c r="H175" s="563" t="s">
        <x:v>331</x:v>
      </x:c>
      <x:c r="I175" s="564" t="s">
        <x:v>1211</x:v>
      </x:c>
    </x:row>
    <x:row r="176" spans="1:9" customHeight="1">
      <x:c r="A176" s="194" t="s">
        <x:v>522</x:v>
      </x:c>
      <x:c r="B176" s="318" t="s">
        <x:v>1938</x:v>
      </x:c>
      <x:c r="C176" s="283" t="s">
        <x:v>484</x:v>
      </x:c>
      <x:c r="D176" s="20"/>
      <x:c r="E176" s="575" t="s">
        <x:v>484</x:v>
      </x:c>
      <x:c r="F176" s="576" t="s">
        <x:v>522</x:v>
      </x:c>
      <x:c r="G176" s="577" t="s">
        <x:v>1938</x:v>
      </x:c>
      <x:c r="H176" s="578" t="s">
        <x:v>332</x:v>
      </x:c>
      <x:c r="I176" s="579" t="s">
        <x:v>1219</x:v>
      </x:c>
    </x:row>
    <x:row r="177" spans="1:9" customHeight="1">
      <x:c r="A177" s="194" t="s">
        <x:v>1946</x:v>
      </x:c>
      <x:c r="B177" s="318" t="s">
        <x:v>1938</x:v>
      </x:c>
      <x:c r="C177" s="283" t="s">
        <x:v>484</x:v>
      </x:c>
      <x:c r="D177" s="20"/>
      <x:c r="E177" s="575" t="s">
        <x:v>484</x:v>
      </x:c>
      <x:c r="F177" s="576" t="s">
        <x:v>1946</x:v>
      </x:c>
      <x:c r="G177" s="577" t="s">
        <x:v>1938</x:v>
      </x:c>
      <x:c r="H177" s="578" t="s">
        <x:v>333</x:v>
      </x:c>
      <x:c r="I177" s="579" t="s">
        <x:v>1212</x:v>
      </x:c>
    </x:row>
    <x:row r="178" spans="1:9" customHeight="1">
      <x:c r="A178" s="194" t="s">
        <x:v>1976</x:v>
      </x:c>
      <x:c r="B178" s="318" t="s">
        <x:v>1938</x:v>
      </x:c>
      <x:c r="C178" s="283" t="s">
        <x:v>484</x:v>
      </x:c>
      <x:c r="D178" s="20"/>
      <x:c r="E178" s="575" t="s">
        <x:v>484</x:v>
      </x:c>
      <x:c r="F178" s="576" t="s">
        <x:v>1976</x:v>
      </x:c>
      <x:c r="G178" s="577" t="s">
        <x:v>1938</x:v>
      </x:c>
      <x:c r="H178" s="578" t="s">
        <x:v>334</x:v>
      </x:c>
      <x:c r="I178" s="579" t="s">
        <x:v>1205</x:v>
      </x:c>
    </x:row>
    <x:row r="179" spans="1:9" customHeight="1">
      <x:c r="A179" s="194" t="s">
        <x:v>1977</x:v>
      </x:c>
      <x:c r="B179" s="318" t="s">
        <x:v>1938</x:v>
      </x:c>
      <x:c r="C179" s="283" t="s">
        <x:v>484</x:v>
      </x:c>
      <x:c r="D179" s="20"/>
      <x:c r="E179" s="575" t="s">
        <x:v>484</x:v>
      </x:c>
      <x:c r="F179" s="576" t="s">
        <x:v>1977</x:v>
      </x:c>
      <x:c r="G179" s="577" t="s">
        <x:v>1938</x:v>
      </x:c>
      <x:c r="H179" s="578" t="s">
        <x:v>337</x:v>
      </x:c>
      <x:c r="I179" s="579" t="s">
        <x:v>1216</x:v>
      </x:c>
    </x:row>
    <x:row r="180" spans="1:9" customHeight="1">
      <x:c r="A180" s="194" t="s">
        <x:v>1978</x:v>
      </x:c>
      <x:c r="B180" s="318" t="s">
        <x:v>1938</x:v>
      </x:c>
      <x:c r="C180" s="283" t="s">
        <x:v>484</x:v>
      </x:c>
      <x:c r="D180" s="20"/>
      <x:c r="E180" s="575" t="s">
        <x:v>484</x:v>
      </x:c>
      <x:c r="F180" s="576" t="s">
        <x:v>1978</x:v>
      </x:c>
      <x:c r="G180" s="577" t="s">
        <x:v>1938</x:v>
      </x:c>
      <x:c r="H180" s="578" t="s">
        <x:v>335</x:v>
      </x:c>
      <x:c r="I180" s="579" t="s">
        <x:v>1221</x:v>
      </x:c>
    </x:row>
    <x:row r="181" spans="1:9" customHeight="1">
      <x:c r="A181" s="194" t="s">
        <x:v>1974</x:v>
      </x:c>
      <x:c r="B181" s="318" t="s">
        <x:v>1938</x:v>
      </x:c>
      <x:c r="C181" s="283" t="s">
        <x:v>484</x:v>
      </x:c>
      <x:c r="D181" s="20"/>
      <x:c r="E181" s="575" t="s">
        <x:v>484</x:v>
      </x:c>
      <x:c r="F181" s="576" t="s">
        <x:v>1974</x:v>
      </x:c>
      <x:c r="G181" s="577" t="s">
        <x:v>1938</x:v>
      </x:c>
      <x:c r="H181" s="578" t="s">
        <x:v>338</x:v>
      </x:c>
      <x:c r="I181" s="579" t="s">
        <x:v>1208</x:v>
      </x:c>
    </x:row>
    <x:row r="182" spans="1:9" customHeight="1">
      <x:c r="A182" s="194" t="s">
        <x:v>1971</x:v>
      </x:c>
      <x:c r="B182" s="318" t="s">
        <x:v>1938</x:v>
      </x:c>
      <x:c r="C182" s="283" t="s">
        <x:v>484</x:v>
      </x:c>
      <x:c r="D182" s="20"/>
      <x:c r="E182" s="575" t="s">
        <x:v>484</x:v>
      </x:c>
      <x:c r="F182" s="576" t="s">
        <x:v>1971</x:v>
      </x:c>
      <x:c r="G182" s="577" t="s">
        <x:v>1938</x:v>
      </x:c>
      <x:c r="H182" s="578" t="s">
        <x:v>339</x:v>
      </x:c>
      <x:c r="I182" s="579" t="s">
        <x:v>1222</x:v>
      </x:c>
    </x:row>
    <x:row r="183" spans="1:9" customHeight="1">
      <x:c r="A183" s="194" t="s">
        <x:v>1013</x:v>
      </x:c>
      <x:c r="B183" s="318" t="s">
        <x:v>1938</x:v>
      </x:c>
      <x:c r="C183" s="283" t="s">
        <x:v>484</x:v>
      </x:c>
      <x:c r="D183" s="20"/>
      <x:c r="E183" s="575" t="s">
        <x:v>484</x:v>
      </x:c>
      <x:c r="F183" s="576" t="s">
        <x:v>1013</x:v>
      </x:c>
      <x:c r="G183" s="577" t="s">
        <x:v>1938</x:v>
      </x:c>
      <x:c r="H183" s="578" t="s">
        <x:v>340</x:v>
      </x:c>
      <x:c r="I183" s="579" t="s">
        <x:v>1223</x:v>
      </x:c>
    </x:row>
    <x:row r="184" spans="1:9" customHeight="1">
      <x:c r="A184" s="194" t="s">
        <x:v>1981</x:v>
      </x:c>
      <x:c r="B184" s="318" t="s">
        <x:v>1938</x:v>
      </x:c>
      <x:c r="C184" s="283" t="s">
        <x:v>484</x:v>
      </x:c>
      <x:c r="D184" s="20"/>
      <x:c r="E184" s="575" t="s">
        <x:v>484</x:v>
      </x:c>
      <x:c r="F184" s="576" t="s">
        <x:v>1981</x:v>
      </x:c>
      <x:c r="G184" s="577" t="s">
        <x:v>1938</x:v>
      </x:c>
      <x:c r="H184" s="578" t="s">
        <x:v>314</x:v>
      </x:c>
      <x:c r="I184" s="579" t="s">
        <x:v>1209</x:v>
      </x:c>
    </x:row>
    <x:row r="185" spans="1:9" customHeight="1">
      <x:c r="A185" s="194" t="s">
        <x:v>1972</x:v>
      </x:c>
      <x:c r="B185" s="318" t="s">
        <x:v>1938</x:v>
      </x:c>
      <x:c r="C185" s="283" t="s">
        <x:v>484</x:v>
      </x:c>
      <x:c r="D185" s="20"/>
      <x:c r="E185" s="575" t="s">
        <x:v>484</x:v>
      </x:c>
      <x:c r="F185" s="576" t="s">
        <x:v>1972</x:v>
      </x:c>
      <x:c r="G185" s="577" t="s">
        <x:v>1938</x:v>
      </x:c>
      <x:c r="H185" s="578" t="s">
        <x:v>309</x:v>
      </x:c>
      <x:c r="I185" s="579" t="s">
        <x:v>1210</x:v>
      </x:c>
    </x:row>
    <x:row r="186" spans="1:9" customHeight="1">
      <x:c r="A186" s="194" t="s">
        <x:v>1979</x:v>
      </x:c>
      <x:c r="B186" s="318" t="s">
        <x:v>1938</x:v>
      </x:c>
      <x:c r="C186" s="283" t="s">
        <x:v>484</x:v>
      </x:c>
      <x:c r="D186" s="20"/>
      <x:c r="E186" s="575" t="s">
        <x:v>484</x:v>
      </x:c>
      <x:c r="F186" s="576" t="s">
        <x:v>1979</x:v>
      </x:c>
      <x:c r="G186" s="577" t="s">
        <x:v>1938</x:v>
      </x:c>
      <x:c r="H186" s="578" t="s">
        <x:v>313</x:v>
      </x:c>
      <x:c r="I186" s="579" t="s">
        <x:v>1225</x:v>
      </x:c>
    </x:row>
    <x:row r="187" spans="1:9" customHeight="1">
      <x:c r="A187" s="194" t="s">
        <x:v>1960</x:v>
      </x:c>
      <x:c r="B187" s="318" t="s">
        <x:v>1938</x:v>
      </x:c>
      <x:c r="C187" s="283" t="s">
        <x:v>484</x:v>
      </x:c>
      <x:c r="D187" s="20"/>
      <x:c r="E187" s="575" t="s">
        <x:v>484</x:v>
      </x:c>
      <x:c r="F187" s="576" t="s">
        <x:v>1960</x:v>
      </x:c>
      <x:c r="G187" s="577" t="s">
        <x:v>1938</x:v>
      </x:c>
      <x:c r="H187" s="578" t="s">
        <x:v>310</x:v>
      </x:c>
      <x:c r="I187" s="579" t="s">
        <x:v>1226</x:v>
      </x:c>
    </x:row>
    <x:row r="188" spans="1:9" customHeight="1">
      <x:c r="A188" s="194" t="s">
        <x:v>1962</x:v>
      </x:c>
      <x:c r="B188" s="318" t="s">
        <x:v>1938</x:v>
      </x:c>
      <x:c r="C188" s="283" t="s">
        <x:v>484</x:v>
      </x:c>
      <x:c r="D188" s="20"/>
      <x:c r="E188" s="575" t="s">
        <x:v>484</x:v>
      </x:c>
      <x:c r="F188" s="576" t="s">
        <x:v>1962</x:v>
      </x:c>
      <x:c r="G188" s="577" t="s">
        <x:v>1938</x:v>
      </x:c>
      <x:c r="H188" s="578" t="s">
        <x:v>311</x:v>
      </x:c>
      <x:c r="I188" s="579" t="s">
        <x:v>1232</x:v>
      </x:c>
    </x:row>
    <x:row r="189" spans="1:9" customHeight="1">
      <x:c r="A189" s="194" t="s">
        <x:v>1980</x:v>
      </x:c>
      <x:c r="B189" s="318" t="s">
        <x:v>1938</x:v>
      </x:c>
      <x:c r="C189" s="283" t="s">
        <x:v>484</x:v>
      </x:c>
      <x:c r="D189" s="20"/>
      <x:c r="E189" s="575" t="s">
        <x:v>484</x:v>
      </x:c>
      <x:c r="F189" s="576" t="s">
        <x:v>1980</x:v>
      </x:c>
      <x:c r="G189" s="577" t="s">
        <x:v>1938</x:v>
      </x:c>
      <x:c r="H189" s="578" t="s">
        <x:v>347</x:v>
      </x:c>
      <x:c r="I189" s="579" t="s">
        <x:v>1206</x:v>
      </x:c>
    </x:row>
    <x:row r="190" spans="1:9" customHeight="1">
      <x:c r="A190" s="194" t="s">
        <x:v>1961</x:v>
      </x:c>
      <x:c r="B190" s="318" t="s">
        <x:v>1938</x:v>
      </x:c>
      <x:c r="C190" s="283" t="s">
        <x:v>484</x:v>
      </x:c>
      <x:c r="D190" s="20"/>
      <x:c r="E190" s="575" t="s">
        <x:v>484</x:v>
      </x:c>
      <x:c r="F190" s="576" t="s">
        <x:v>1961</x:v>
      </x:c>
      <x:c r="G190" s="577" t="s">
        <x:v>1938</x:v>
      </x:c>
      <x:c r="H190" s="578" t="s">
        <x:v>359</x:v>
      </x:c>
      <x:c r="I190" s="579" t="s">
        <x:v>1227</x:v>
      </x:c>
    </x:row>
    <x:row r="191" spans="1:9" customHeight="1">
      <x:c r="A191" s="194" t="s">
        <x:v>1982</x:v>
      </x:c>
      <x:c r="B191" s="318" t="s">
        <x:v>1938</x:v>
      </x:c>
      <x:c r="C191" s="283" t="s">
        <x:v>484</x:v>
      </x:c>
      <x:c r="D191" s="20"/>
      <x:c r="E191" s="575" t="s">
        <x:v>484</x:v>
      </x:c>
      <x:c r="F191" s="576" t="s">
        <x:v>1982</x:v>
      </x:c>
      <x:c r="G191" s="577" t="s">
        <x:v>1938</x:v>
      </x:c>
      <x:c r="H191" s="578" t="s">
        <x:v>361</x:v>
      </x:c>
      <x:c r="I191" s="579" t="s">
        <x:v>1228</x:v>
      </x:c>
    </x:row>
    <x:row r="192" spans="1:9" customHeight="1">
      <x:c r="A192" s="194" t="s">
        <x:v>1968</x:v>
      </x:c>
      <x:c r="B192" s="318" t="s">
        <x:v>1938</x:v>
      </x:c>
      <x:c r="C192" s="283" t="s">
        <x:v>484</x:v>
      </x:c>
      <x:c r="D192" s="20"/>
      <x:c r="E192" s="575" t="s">
        <x:v>484</x:v>
      </x:c>
      <x:c r="F192" s="576" t="s">
        <x:v>1968</x:v>
      </x:c>
      <x:c r="G192" s="577" t="s">
        <x:v>1938</x:v>
      </x:c>
      <x:c r="H192" s="578" t="s">
        <x:v>354</x:v>
      </x:c>
      <x:c r="I192" s="579" t="s">
        <x:v>1229</x:v>
      </x:c>
    </x:row>
    <x:row r="193" spans="1:9" customHeight="1">
      <x:c r="A193" s="194" t="s">
        <x:v>1983</x:v>
      </x:c>
      <x:c r="B193" s="318" t="s">
        <x:v>1938</x:v>
      </x:c>
      <x:c r="C193" s="283" t="s">
        <x:v>484</x:v>
      </x:c>
      <x:c r="D193" s="20"/>
      <x:c r="E193" s="575" t="s">
        <x:v>484</x:v>
      </x:c>
      <x:c r="F193" s="576" t="s">
        <x:v>1983</x:v>
      </x:c>
      <x:c r="G193" s="577" t="s">
        <x:v>1938</x:v>
      </x:c>
      <x:c r="H193" s="578" t="s">
        <x:v>355</x:v>
      </x:c>
      <x:c r="I193" s="579" t="s">
        <x:v>1231</x:v>
      </x:c>
    </x:row>
    <x:row r="194" spans="1:9" customHeight="1">
      <x:c r="A194" s="194" t="s">
        <x:v>1975</x:v>
      </x:c>
      <x:c r="B194" s="318" t="s">
        <x:v>1938</x:v>
      </x:c>
      <x:c r="C194" s="283" t="s">
        <x:v>484</x:v>
      </x:c>
      <x:c r="D194" s="20"/>
      <x:c r="E194" s="575" t="s">
        <x:v>484</x:v>
      </x:c>
      <x:c r="F194" s="576" t="s">
        <x:v>1975</x:v>
      </x:c>
      <x:c r="G194" s="577" t="s">
        <x:v>1938</x:v>
      </x:c>
      <x:c r="H194" s="578" t="s">
        <x:v>343</x:v>
      </x:c>
      <x:c r="I194" s="579" t="s">
        <x:v>1233</x:v>
      </x:c>
    </x:row>
    <x:row r="195" spans="1:9" customHeight="1">
      <x:c r="A195" s="194" t="s">
        <x:v>1984</x:v>
      </x:c>
      <x:c r="B195" s="318" t="s">
        <x:v>1938</x:v>
      </x:c>
      <x:c r="C195" s="283" t="s">
        <x:v>484</x:v>
      </x:c>
      <x:c r="D195" s="20"/>
      <x:c r="E195" s="575" t="s">
        <x:v>484</x:v>
      </x:c>
      <x:c r="F195" s="576" t="s">
        <x:v>1984</x:v>
      </x:c>
      <x:c r="G195" s="577" t="s">
        <x:v>1938</x:v>
      </x:c>
      <x:c r="H195" s="578" t="s">
        <x:v>344</x:v>
      </x:c>
      <x:c r="I195" s="579" t="s">
        <x:v>1202</x:v>
      </x:c>
    </x:row>
    <x:row r="196" spans="1:9" customHeight="1">
      <x:c r="A196" s="194" t="s">
        <x:v>1985</x:v>
      </x:c>
      <x:c r="B196" s="318" t="s">
        <x:v>1938</x:v>
      </x:c>
      <x:c r="C196" s="283" t="s">
        <x:v>484</x:v>
      </x:c>
      <x:c r="D196" s="20"/>
      <x:c r="E196" s="575" t="s">
        <x:v>484</x:v>
      </x:c>
      <x:c r="F196" s="576" t="s">
        <x:v>1985</x:v>
      </x:c>
      <x:c r="G196" s="577" t="s">
        <x:v>1938</x:v>
      </x:c>
      <x:c r="H196" s="578" t="s">
        <x:v>346</x:v>
      </x:c>
      <x:c r="I196" s="579" t="s">
        <x:v>1203</x:v>
      </x:c>
    </x:row>
    <x:row r="197" spans="1:9" customHeight="1">
      <x:c r="A197" s="194" t="s">
        <x:v>1973</x:v>
      </x:c>
      <x:c r="B197" s="318" t="s">
        <x:v>1938</x:v>
      </x:c>
      <x:c r="C197" s="283" t="s">
        <x:v>484</x:v>
      </x:c>
      <x:c r="D197" s="20"/>
      <x:c r="E197" s="575" t="s">
        <x:v>484</x:v>
      </x:c>
      <x:c r="F197" s="576" t="s">
        <x:v>1973</x:v>
      </x:c>
      <x:c r="G197" s="577" t="s">
        <x:v>1938</x:v>
      </x:c>
      <x:c r="H197" s="578" t="s">
        <x:v>356</x:v>
      </x:c>
      <x:c r="I197" s="579" t="s">
        <x:v>1204</x:v>
      </x:c>
    </x:row>
    <x:row r="198" spans="1:9" customHeight="1">
      <x:c r="A198" s="194" t="s">
        <x:v>1969</x:v>
      </x:c>
      <x:c r="B198" s="318" t="s">
        <x:v>1938</x:v>
      </x:c>
      <x:c r="C198" s="283" t="s">
        <x:v>484</x:v>
      </x:c>
      <x:c r="D198" s="20"/>
      <x:c r="E198" s="575" t="s">
        <x:v>484</x:v>
      </x:c>
      <x:c r="F198" s="576" t="s">
        <x:v>1969</x:v>
      </x:c>
      <x:c r="G198" s="577" t="s">
        <x:v>1938</x:v>
      </x:c>
      <x:c r="H198" s="578" t="s">
        <x:v>357</x:v>
      </x:c>
      <x:c r="I198" s="579" t="s">
        <x:v>1207</x:v>
      </x:c>
    </x:row>
    <x:row r="199" spans="1:9" customHeight="1">
      <x:c r="A199" s="194" t="s">
        <x:v>1970</x:v>
      </x:c>
      <x:c r="B199" s="318" t="s">
        <x:v>1938</x:v>
      </x:c>
      <x:c r="C199" s="283" t="s">
        <x:v>484</x:v>
      </x:c>
      <x:c r="D199" s="20"/>
      <x:c r="E199" s="575" t="s">
        <x:v>484</x:v>
      </x:c>
      <x:c r="F199" s="576" t="s">
        <x:v>1970</x:v>
      </x:c>
      <x:c r="G199" s="577" t="s">
        <x:v>1938</x:v>
      </x:c>
      <x:c r="H199" s="578" t="s">
        <x:v>365</x:v>
      </x:c>
      <x:c r="I199" s="579" t="s">
        <x:v>1244</x:v>
      </x:c>
    </x:row>
    <x:row r="200" spans="1:9" customHeight="1">
      <x:c r="A200" s="194" t="s">
        <x:v>1963</x:v>
      </x:c>
      <x:c r="B200" s="318" t="s">
        <x:v>1938</x:v>
      </x:c>
      <x:c r="C200" s="283" t="s">
        <x:v>484</x:v>
      </x:c>
      <x:c r="D200" s="20"/>
      <x:c r="E200" s="575" t="s">
        <x:v>484</x:v>
      </x:c>
      <x:c r="F200" s="576" t="s">
        <x:v>1963</x:v>
      </x:c>
      <x:c r="G200" s="577" t="s">
        <x:v>1938</x:v>
      </x:c>
      <x:c r="H200" s="578" t="s">
        <x:v>366</x:v>
      </x:c>
      <x:c r="I200" s="579" t="s">
        <x:v>1241</x:v>
      </x:c>
    </x:row>
    <x:row r="201" spans="1:9" customHeight="1">
      <x:c r="A201" s="194" t="s">
        <x:v>1986</x:v>
      </x:c>
      <x:c r="B201" s="318" t="s">
        <x:v>1938</x:v>
      </x:c>
      <x:c r="C201" s="283" t="s">
        <x:v>484</x:v>
      </x:c>
      <x:c r="D201" s="20"/>
      <x:c r="E201" s="575" t="s">
        <x:v>484</x:v>
      </x:c>
      <x:c r="F201" s="576" t="s">
        <x:v>1986</x:v>
      </x:c>
      <x:c r="G201" s="577" t="s">
        <x:v>1938</x:v>
      </x:c>
      <x:c r="H201" s="578" t="s">
        <x:v>345</x:v>
      </x:c>
      <x:c r="I201" s="579" t="s">
        <x:v>1251</x:v>
      </x:c>
    </x:row>
    <x:row r="202" spans="1:9" customHeight="1">
      <x:c r="A202" s="194" t="s">
        <x:v>1966</x:v>
      </x:c>
      <x:c r="B202" s="318" t="s">
        <x:v>1938</x:v>
      </x:c>
      <x:c r="C202" s="283" t="s">
        <x:v>484</x:v>
      </x:c>
      <x:c r="D202" s="20"/>
      <x:c r="E202" s="575" t="s">
        <x:v>484</x:v>
      </x:c>
      <x:c r="F202" s="576" t="s">
        <x:v>1966</x:v>
      </x:c>
      <x:c r="G202" s="577" t="s">
        <x:v>1938</x:v>
      </x:c>
      <x:c r="H202" s="578" t="s">
        <x:v>353</x:v>
      </x:c>
      <x:c r="I202" s="579" t="s">
        <x:v>1258</x:v>
      </x:c>
    </x:row>
    <x:row r="203" spans="1:9" customHeight="1">
      <x:c r="A203" s="194" t="s">
        <x:v>1987</x:v>
      </x:c>
      <x:c r="B203" s="318" t="s">
        <x:v>1938</x:v>
      </x:c>
      <x:c r="C203" s="283" t="s">
        <x:v>484</x:v>
      </x:c>
      <x:c r="D203" s="20"/>
      <x:c r="E203" s="575" t="s">
        <x:v>484</x:v>
      </x:c>
      <x:c r="F203" s="576" t="s">
        <x:v>1987</x:v>
      </x:c>
      <x:c r="G203" s="577" t="s">
        <x:v>1938</x:v>
      </x:c>
      <x:c r="H203" s="578" t="s">
        <x:v>342</x:v>
      </x:c>
      <x:c r="I203" s="579" t="s">
        <x:v>1253</x:v>
      </x:c>
    </x:row>
    <x:row r="204" spans="1:9" customHeight="1">
      <x:c r="A204" s="194" t="s">
        <x:v>1988</x:v>
      </x:c>
      <x:c r="B204" s="318" t="s">
        <x:v>1938</x:v>
      </x:c>
      <x:c r="C204" s="283" t="s">
        <x:v>484</x:v>
      </x:c>
      <x:c r="D204" s="20"/>
      <x:c r="E204" s="575" t="s">
        <x:v>484</x:v>
      </x:c>
      <x:c r="F204" s="576" t="s">
        <x:v>1988</x:v>
      </x:c>
      <x:c r="G204" s="577" t="s">
        <x:v>1938</x:v>
      </x:c>
      <x:c r="H204" s="578" t="s">
        <x:v>349</x:v>
      </x:c>
      <x:c r="I204" s="579" t="s">
        <x:v>1260</x:v>
      </x:c>
    </x:row>
    <x:row r="205" spans="1:9" customHeight="1">
      <x:c r="A205" s="371" t="s">
        <x:v>1964</x:v>
      </x:c>
      <x:c r="B205" s="318" t="s">
        <x:v>1938</x:v>
      </x:c>
      <x:c r="C205" s="283" t="s">
        <x:v>484</x:v>
      </x:c>
      <x:c r="D205" s="20"/>
      <x:c r="E205" s="575" t="s">
        <x:v>484</x:v>
      </x:c>
      <x:c r="F205" s="576" t="s">
        <x:v>1964</x:v>
      </x:c>
      <x:c r="G205" s="577" t="s">
        <x:v>1938</x:v>
      </x:c>
      <x:c r="H205" s="578" t="s">
        <x:v>367</x:v>
      </x:c>
      <x:c r="I205" s="579" t="s">
        <x:v>1264</x:v>
      </x:c>
    </x:row>
    <x:row r="206" spans="1:9" customHeight="1">
      <x:c r="A206" s="194" t="s">
        <x:v>1989</x:v>
      </x:c>
      <x:c r="B206" s="318" t="s">
        <x:v>1938</x:v>
      </x:c>
      <x:c r="C206" s="283" t="s">
        <x:v>484</x:v>
      </x:c>
      <x:c r="D206" s="20"/>
      <x:c r="E206" s="575" t="s">
        <x:v>484</x:v>
      </x:c>
      <x:c r="F206" s="576" t="s">
        <x:v>1989</x:v>
      </x:c>
      <x:c r="G206" s="577" t="s">
        <x:v>1938</x:v>
      </x:c>
      <x:c r="H206" s="578" t="s">
        <x:v>350</x:v>
      </x:c>
      <x:c r="I206" s="579" t="s">
        <x:v>1262</x:v>
      </x:c>
    </x:row>
    <x:row r="207" spans="1:9" customHeight="1">
      <x:c r="A207" s="194" t="s">
        <x:v>1958</x:v>
      </x:c>
      <x:c r="B207" s="318" t="s">
        <x:v>1938</x:v>
      </x:c>
      <x:c r="C207" s="283" t="s">
        <x:v>484</x:v>
      </x:c>
      <x:c r="D207" s="20"/>
      <x:c r="E207" s="575" t="s">
        <x:v>484</x:v>
      </x:c>
      <x:c r="F207" s="576" t="s">
        <x:v>1958</x:v>
      </x:c>
      <x:c r="G207" s="577" t="s">
        <x:v>1938</x:v>
      </x:c>
      <x:c r="H207" s="578" t="s">
        <x:v>358</x:v>
      </x:c>
      <x:c r="I207" s="579" t="s">
        <x:v>1249</x:v>
      </x:c>
    </x:row>
    <x:row r="208" spans="1:9" customHeight="1">
      <x:c r="A208" s="194" t="s">
        <x:v>1959</x:v>
      </x:c>
      <x:c r="B208" s="318" t="s">
        <x:v>1938</x:v>
      </x:c>
      <x:c r="C208" s="283" t="s">
        <x:v>484</x:v>
      </x:c>
      <x:c r="D208" s="20"/>
      <x:c r="E208" s="575" t="s">
        <x:v>484</x:v>
      </x:c>
      <x:c r="F208" s="576" t="s">
        <x:v>1959</x:v>
      </x:c>
      <x:c r="G208" s="577" t="s">
        <x:v>1938</x:v>
      </x:c>
      <x:c r="H208" s="578" t="s">
        <x:v>360</x:v>
      </x:c>
      <x:c r="I208" s="579" t="s">
        <x:v>1254</x:v>
      </x:c>
    </x:row>
    <x:row r="209" spans="1:9" customHeight="1">
      <x:c r="A209" s="194" t="s">
        <x:v>1965</x:v>
      </x:c>
      <x:c r="B209" s="318" t="s">
        <x:v>1938</x:v>
      </x:c>
      <x:c r="C209" s="283" t="s">
        <x:v>484</x:v>
      </x:c>
      <x:c r="D209" s="20"/>
      <x:c r="E209" s="575" t="s">
        <x:v>484</x:v>
      </x:c>
      <x:c r="F209" s="576" t="s">
        <x:v>1965</x:v>
      </x:c>
      <x:c r="G209" s="577" t="s">
        <x:v>1938</x:v>
      </x:c>
      <x:c r="H209" s="578" t="s">
        <x:v>351</x:v>
      </x:c>
      <x:c r="I209" s="579" t="s">
        <x:v>1255</x:v>
      </x:c>
    </x:row>
    <x:row r="210" spans="1:9" customHeight="1">
      <x:c r="A210" s="193" t="s">
        <x:v>1967</x:v>
      </x:c>
      <x:c r="B210" s="316" t="s">
        <x:v>1938</x:v>
      </x:c>
      <x:c r="C210" s="291" t="s">
        <x:v>484</x:v>
      </x:c>
      <x:c r="D210" s="20"/>
      <x:c r="E210" s="565" t="s">
        <x:v>484</x:v>
      </x:c>
      <x:c r="F210" s="566" t="s">
        <x:v>1967</x:v>
      </x:c>
      <x:c r="G210" s="567" t="s">
        <x:v>1938</x:v>
      </x:c>
      <x:c r="H210" s="580" t="s">
        <x:v>362</x:v>
      </x:c>
      <x:c r="I210" s="581" t="s">
        <x:v>1234</x:v>
      </x:c>
    </x:row>
    <x:row r="211" spans="1:9" customHeight="1">
      <x:c r="A211" s="192" t="s">
        <x:v>83</x:v>
      </x:c>
      <x:c r="B211" s="315" t="s">
        <x:v>1956</x:v>
      </x:c>
      <x:c r="C211" s="290" t="s">
        <x:v>1941</x:v>
      </x:c>
      <x:c r="D211" s="20"/>
      <x:c r="E211" s="560" t="s">
        <x:v>1941</x:v>
      </x:c>
      <x:c r="F211" s="561" t="s">
        <x:v>83</x:v>
      </x:c>
      <x:c r="G211" s="562" t="s">
        <x:v>1956</x:v>
      </x:c>
      <x:c r="H211" s="563" t="s">
        <x:v>371</x:v>
      </x:c>
      <x:c r="I211" s="564" t="s">
        <x:v>1237</x:v>
      </x:c>
    </x:row>
    <x:row r="212" spans="1:9" customHeight="1">
      <x:c r="A212" s="194" t="s">
        <x:v>82</x:v>
      </x:c>
      <x:c r="B212" s="318" t="s">
        <x:v>1956</x:v>
      </x:c>
      <x:c r="C212" s="283" t="s">
        <x:v>1941</x:v>
      </x:c>
      <x:c r="D212" s="20"/>
      <x:c r="E212" s="575" t="s">
        <x:v>1941</x:v>
      </x:c>
      <x:c r="F212" s="576" t="s">
        <x:v>82</x:v>
      </x:c>
      <x:c r="G212" s="577" t="s">
        <x:v>1956</x:v>
      </x:c>
      <x:c r="H212" s="578" t="s">
        <x:v>348</x:v>
      </x:c>
      <x:c r="I212" s="579" t="s">
        <x:v>1256</x:v>
      </x:c>
    </x:row>
    <x:row r="213" spans="1:9" customHeight="1">
      <x:c r="A213" s="194" t="s">
        <x:v>1036</x:v>
      </x:c>
      <x:c r="B213" s="318" t="s">
        <x:v>1956</x:v>
      </x:c>
      <x:c r="C213" s="283" t="s">
        <x:v>1941</x:v>
      </x:c>
      <x:c r="D213" s="20"/>
      <x:c r="E213" s="575" t="s">
        <x:v>1941</x:v>
      </x:c>
      <x:c r="F213" s="576" t="s">
        <x:v>1036</x:v>
      </x:c>
      <x:c r="G213" s="577" t="s">
        <x:v>1956</x:v>
      </x:c>
      <x:c r="H213" s="578" t="s">
        <x:v>369</x:v>
      </x:c>
      <x:c r="I213" s="579" t="s">
        <x:v>1259</x:v>
      </x:c>
    </x:row>
    <x:row r="214" spans="1:9" customHeight="1">
      <x:c r="A214" s="194" t="s">
        <x:v>1037</x:v>
      </x:c>
      <x:c r="B214" s="318" t="s">
        <x:v>1956</x:v>
      </x:c>
      <x:c r="C214" s="283" t="s">
        <x:v>1941</x:v>
      </x:c>
      <x:c r="D214" s="20"/>
      <x:c r="E214" s="575" t="s">
        <x:v>1941</x:v>
      </x:c>
      <x:c r="F214" s="576" t="s">
        <x:v>1037</x:v>
      </x:c>
      <x:c r="G214" s="577" t="s">
        <x:v>1956</x:v>
      </x:c>
      <x:c r="H214" s="578" t="s">
        <x:v>352</x:v>
      </x:c>
      <x:c r="I214" s="579" t="s">
        <x:v>1261</x:v>
      </x:c>
    </x:row>
    <x:row r="215" spans="1:9" customHeight="1">
      <x:c r="A215" s="194" t="s">
        <x:v>1049</x:v>
      </x:c>
      <x:c r="B215" s="318" t="s">
        <x:v>1956</x:v>
      </x:c>
      <x:c r="C215" s="283" t="s">
        <x:v>1941</x:v>
      </x:c>
      <x:c r="D215" s="20"/>
      <x:c r="E215" s="575" t="s">
        <x:v>1941</x:v>
      </x:c>
      <x:c r="F215" s="576" t="s">
        <x:v>1049</x:v>
      </x:c>
      <x:c r="G215" s="577" t="s">
        <x:v>1956</x:v>
      </x:c>
      <x:c r="H215" s="578" t="s">
        <x:v>363</x:v>
      </x:c>
      <x:c r="I215" s="579" t="s">
        <x:v>1246</x:v>
      </x:c>
    </x:row>
    <x:row r="216" spans="1:9" customHeight="1">
      <x:c r="A216" s="194" t="s">
        <x:v>170</x:v>
      </x:c>
      <x:c r="B216" s="318" t="s">
        <x:v>1956</x:v>
      </x:c>
      <x:c r="C216" s="283" t="s">
        <x:v>1941</x:v>
      </x:c>
      <x:c r="D216" s="20"/>
      <x:c r="E216" s="575" t="s">
        <x:v>1941</x:v>
      </x:c>
      <x:c r="F216" s="576" t="s">
        <x:v>170</x:v>
      </x:c>
      <x:c r="G216" s="577" t="s">
        <x:v>1956</x:v>
      </x:c>
      <x:c r="H216" s="578" t="s">
        <x:v>364</x:v>
      </x:c>
      <x:c r="I216" s="579" t="s">
        <x:v>1257</x:v>
      </x:c>
    </x:row>
    <x:row r="217" spans="1:9" customHeight="1">
      <x:c r="A217" s="194" t="s">
        <x:v>1069</x:v>
      </x:c>
      <x:c r="B217" s="318" t="s">
        <x:v>1956</x:v>
      </x:c>
      <x:c r="C217" s="283" t="s">
        <x:v>1941</x:v>
      </x:c>
      <x:c r="D217" s="20"/>
      <x:c r="E217" s="575" t="s">
        <x:v>1941</x:v>
      </x:c>
      <x:c r="F217" s="576" t="s">
        <x:v>1069</x:v>
      </x:c>
      <x:c r="G217" s="577" t="s">
        <x:v>1956</x:v>
      </x:c>
      <x:c r="H217" s="578" t="s">
        <x:v>368</x:v>
      </x:c>
      <x:c r="I217" s="579" t="s">
        <x:v>1265</x:v>
      </x:c>
    </x:row>
    <x:row r="218" spans="1:9" customHeight="1">
      <x:c r="A218" s="194" t="s">
        <x:v>1066</x:v>
      </x:c>
      <x:c r="B218" s="318" t="s">
        <x:v>1956</x:v>
      </x:c>
      <x:c r="C218" s="283" t="s">
        <x:v>1941</x:v>
      </x:c>
      <x:c r="D218" s="20"/>
      <x:c r="E218" s="575" t="s">
        <x:v>1941</x:v>
      </x:c>
      <x:c r="F218" s="576" t="s">
        <x:v>1066</x:v>
      </x:c>
      <x:c r="G218" s="577" t="s">
        <x:v>1956</x:v>
      </x:c>
      <x:c r="H218" s="578" t="s">
        <x:v>370</x:v>
      </x:c>
      <x:c r="I218" s="579" t="s">
        <x:v>1263</x:v>
      </x:c>
    </x:row>
    <x:row r="219" spans="1:9" customHeight="1">
      <x:c r="A219" s="193" t="s">
        <x:v>531</x:v>
      </x:c>
      <x:c r="B219" s="316" t="s">
        <x:v>1956</x:v>
      </x:c>
      <x:c r="C219" s="291" t="s">
        <x:v>1941</x:v>
      </x:c>
      <x:c r="D219" s="20"/>
      <x:c r="E219" s="565" t="s">
        <x:v>1941</x:v>
      </x:c>
      <x:c r="F219" s="566" t="s">
        <x:v>531</x:v>
      </x:c>
      <x:c r="G219" s="567" t="s">
        <x:v>1956</x:v>
      </x:c>
      <x:c r="H219" s="568" t="s">
        <x:v>372</x:v>
      </x:c>
      <x:c r="I219" s="569" t="s">
        <x:v>1250</x:v>
      </x:c>
    </x:row>
    <x:row r="220" spans="1:9" customHeight="1">
      <x:c r="A220" s="192" t="s">
        <x:v>496</x:v>
      </x:c>
      <x:c r="B220" s="315" t="s">
        <x:v>2005</x:v>
      </x:c>
      <x:c r="C220" s="290" t="s">
        <x:v>1047</x:v>
      </x:c>
      <x:c r="D220" s="20"/>
      <x:c r="E220" s="560" t="s">
        <x:v>1047</x:v>
      </x:c>
      <x:c r="F220" s="561" t="s">
        <x:v>496</x:v>
      </x:c>
      <x:c r="G220" s="562" t="s">
        <x:v>2005</x:v>
      </x:c>
      <x:c r="H220" s="563" t="s">
        <x:v>341</x:v>
      </x:c>
      <x:c r="I220" s="564" t="s">
        <x:v>1235</x:v>
      </x:c>
    </x:row>
    <x:row r="221" spans="1:9" customHeight="1">
      <x:c r="A221" s="194" t="s">
        <x:v>2018</x:v>
      </x:c>
      <x:c r="B221" s="318" t="s">
        <x:v>2005</x:v>
      </x:c>
      <x:c r="C221" s="283" t="s">
        <x:v>1047</x:v>
      </x:c>
      <x:c r="D221" s="20"/>
      <x:c r="E221" s="575" t="s">
        <x:v>1047</x:v>
      </x:c>
      <x:c r="F221" s="576" t="s">
        <x:v>2018</x:v>
      </x:c>
      <x:c r="G221" s="577" t="s">
        <x:v>2005</x:v>
      </x:c>
      <x:c r="H221" s="578" t="s">
        <x:v>376</x:v>
      </x:c>
      <x:c r="I221" s="579" t="s">
        <x:v>1252</x:v>
      </x:c>
    </x:row>
    <x:row r="222" spans="1:9" customHeight="1">
      <x:c r="A222" s="194" t="s">
        <x:v>2006</x:v>
      </x:c>
      <x:c r="B222" s="318" t="s">
        <x:v>2005</x:v>
      </x:c>
      <x:c r="C222" s="283" t="s">
        <x:v>1047</x:v>
      </x:c>
      <x:c r="D222" s="20"/>
      <x:c r="E222" s="575" t="s">
        <x:v>1047</x:v>
      </x:c>
      <x:c r="F222" s="576" t="s">
        <x:v>2006</x:v>
      </x:c>
      <x:c r="G222" s="577" t="s">
        <x:v>2005</x:v>
      </x:c>
      <x:c r="H222" s="578" t="s">
        <x:v>404</x:v>
      </x:c>
      <x:c r="I222" s="579" t="s">
        <x:v>1236</x:v>
      </x:c>
    </x:row>
    <x:row r="223" spans="1:9" customHeight="1">
      <x:c r="A223" s="194" t="s">
        <x:v>1993</x:v>
      </x:c>
      <x:c r="B223" s="318" t="s">
        <x:v>2005</x:v>
      </x:c>
      <x:c r="C223" s="283" t="s">
        <x:v>1047</x:v>
      </x:c>
      <x:c r="D223" s="20"/>
      <x:c r="E223" s="575" t="s">
        <x:v>1047</x:v>
      </x:c>
      <x:c r="F223" s="576" t="s">
        <x:v>1993</x:v>
      </x:c>
      <x:c r="G223" s="577" t="s">
        <x:v>2005</x:v>
      </x:c>
      <x:c r="H223" s="578" t="s">
        <x:v>402</x:v>
      </x:c>
      <x:c r="I223" s="579" t="s">
        <x:v>1245</x:v>
      </x:c>
    </x:row>
    <x:row r="224" spans="1:9" customHeight="1">
      <x:c r="A224" s="194" t="s">
        <x:v>25</x:v>
      </x:c>
      <x:c r="B224" s="318" t="s">
        <x:v>2005</x:v>
      </x:c>
      <x:c r="C224" s="283" t="s">
        <x:v>1047</x:v>
      </x:c>
      <x:c r="D224" s="20"/>
      <x:c r="E224" s="575" t="s">
        <x:v>1047</x:v>
      </x:c>
      <x:c r="F224" s="576" t="s">
        <x:v>25</x:v>
      </x:c>
      <x:c r="G224" s="577" t="s">
        <x:v>2005</x:v>
      </x:c>
      <x:c r="H224" s="578" t="s">
        <x:v>392</x:v>
      </x:c>
      <x:c r="I224" s="579" t="s">
        <x:v>1247</x:v>
      </x:c>
    </x:row>
    <x:row r="225" spans="1:9" customHeight="1">
      <x:c r="A225" s="194" t="s">
        <x:v>2007</x:v>
      </x:c>
      <x:c r="B225" s="318" t="s">
        <x:v>2005</x:v>
      </x:c>
      <x:c r="C225" s="283" t="s">
        <x:v>1047</x:v>
      </x:c>
      <x:c r="D225" s="20"/>
      <x:c r="E225" s="575" t="s">
        <x:v>1047</x:v>
      </x:c>
      <x:c r="F225" s="576" t="s">
        <x:v>2007</x:v>
      </x:c>
      <x:c r="G225" s="577" t="s">
        <x:v>2005</x:v>
      </x:c>
      <x:c r="H225" s="578" t="s">
        <x:v>398</x:v>
      </x:c>
      <x:c r="I225" s="579" t="s">
        <x:v>1242</x:v>
      </x:c>
    </x:row>
    <x:row r="226" spans="1:9" customHeight="1">
      <x:c r="A226" s="194" t="s">
        <x:v>1515</x:v>
      </x:c>
      <x:c r="B226" s="318" t="s">
        <x:v>2005</x:v>
      </x:c>
      <x:c r="C226" s="283" t="s">
        <x:v>1047</x:v>
      </x:c>
      <x:c r="D226" s="20"/>
      <x:c r="E226" s="575" t="s">
        <x:v>1047</x:v>
      </x:c>
      <x:c r="F226" s="576" t="s">
        <x:v>1515</x:v>
      </x:c>
      <x:c r="G226" s="577" t="s">
        <x:v>2005</x:v>
      </x:c>
      <x:c r="H226" s="578" t="s">
        <x:v>377</x:v>
      </x:c>
      <x:c r="I226" s="579" t="s">
        <x:v>1238</x:v>
      </x:c>
    </x:row>
    <x:row r="227" spans="1:9" customHeight="1">
      <x:c r="A227" s="194" t="s">
        <x:v>497</x:v>
      </x:c>
      <x:c r="B227" s="318" t="s">
        <x:v>2005</x:v>
      </x:c>
      <x:c r="C227" s="283" t="s">
        <x:v>1047</x:v>
      </x:c>
      <x:c r="D227" s="20"/>
      <x:c r="E227" s="575" t="s">
        <x:v>1047</x:v>
      </x:c>
      <x:c r="F227" s="576" t="s">
        <x:v>497</x:v>
      </x:c>
      <x:c r="G227" s="577" t="s">
        <x:v>2005</x:v>
      </x:c>
      <x:c r="H227" s="578" t="s">
        <x:v>378</x:v>
      </x:c>
      <x:c r="I227" s="579" t="s">
        <x:v>1243</x:v>
      </x:c>
    </x:row>
    <x:row r="228" spans="1:9" customHeight="1">
      <x:c r="A228" s="195" t="s">
        <x:v>2019</x:v>
      </x:c>
      <x:c r="B228" s="318" t="s">
        <x:v>2005</x:v>
      </x:c>
      <x:c r="C228" s="285" t="s">
        <x:v>1047</x:v>
      </x:c>
      <x:c r="D228" s="20"/>
      <x:c r="E228" s="575" t="s">
        <x:v>1047</x:v>
      </x:c>
      <x:c r="F228" s="576" t="s">
        <x:v>2019</x:v>
      </x:c>
      <x:c r="G228" s="577" t="s">
        <x:v>2005</x:v>
      </x:c>
      <x:c r="H228" s="578" t="s">
        <x:v>391</x:v>
      </x:c>
      <x:c r="I228" s="579" t="s">
        <x:v>1248</x:v>
      </x:c>
    </x:row>
    <x:row r="229" spans="1:9" customHeight="1">
      <x:c r="A229" s="298" t="s">
        <x:v>1994</x:v>
      </x:c>
      <x:c r="B229" s="299" t="s">
        <x:v>2005</x:v>
      </x:c>
      <x:c r="C229" s="300" t="s">
        <x:v>1047</x:v>
      </x:c>
      <x:c r="D229" s="8"/>
      <x:c r="E229" s="565" t="s">
        <x:v>1047</x:v>
      </x:c>
      <x:c r="F229" s="566" t="s">
        <x:v>1994</x:v>
      </x:c>
      <x:c r="G229" s="567" t="s">
        <x:v>2005</x:v>
      </x:c>
      <x:c r="H229" s="568" t="s">
        <x:v>379</x:v>
      </x:c>
      <x:c r="I229" s="569" t="s">
        <x:v>1239</x:v>
      </x:c>
    </x:row>
    <x:row r="230" spans="1:9" customHeight="1">
      <x:c r="A230" s="197" t="s">
        <x:v>492</x:v>
      </x:c>
      <x:c r="B230" s="201" t="s">
        <x:v>1938</x:v>
      </x:c>
      <x:c r="C230" s="301" t="s">
        <x:v>1067</x:v>
      </x:c>
      <x:c r="D230" s="8"/>
      <x:c r="E230" s="560" t="s">
        <x:v>1067</x:v>
      </x:c>
      <x:c r="F230" s="561" t="s">
        <x:v>492</x:v>
      </x:c>
      <x:c r="G230" s="562" t="s">
        <x:v>1938</x:v>
      </x:c>
      <x:c r="H230" s="563" t="s">
        <x:v>389</x:v>
      </x:c>
      <x:c r="I230" s="564" t="s">
        <x:v>1240</x:v>
      </x:c>
    </x:row>
    <x:row r="231" spans="1:9" customHeight="1">
      <x:c r="A231" s="196" t="s">
        <x:v>495</x:v>
      </x:c>
      <x:c r="B231" s="202" t="s">
        <x:v>1938</x:v>
      </x:c>
      <x:c r="C231" s="200" t="s">
        <x:v>1067</x:v>
      </x:c>
      <x:c r="D231" s="8"/>
      <x:c r="E231" s="565" t="s">
        <x:v>1067</x:v>
      </x:c>
      <x:c r="F231" s="566" t="s">
        <x:v>495</x:v>
      </x:c>
      <x:c r="G231" s="567" t="s">
        <x:v>1938</x:v>
      </x:c>
      <x:c r="H231" s="568" t="s">
        <x:v>396</x:v>
      </x:c>
      <x:c r="I231" s="569" t="s">
        <x:v>1280</x:v>
      </x:c>
    </x:row>
    <x:row r="232" spans="1:9" customHeight="1">
      <x:c r="A232" s="197" t="s">
        <x:v>1031</x:v>
      </x:c>
      <x:c r="B232" s="201" t="s">
        <x:v>2020</x:v>
      </x:c>
      <x:c r="C232" s="301" t="s">
        <x:v>1060</x:v>
      </x:c>
      <x:c r="D232" s="8"/>
      <x:c r="E232" s="594" t="s">
        <x:v>1060</x:v>
      </x:c>
      <x:c r="F232" s="595" t="s">
        <x:v>1031</x:v>
      </x:c>
      <x:c r="G232" s="368" t="s">
        <x:v>2020</x:v>
      </x:c>
      <x:c r="H232" s="563" t="s">
        <x:v>394</x:v>
      </x:c>
      <x:c r="I232" s="564" t="s">
        <x:v>1268</x:v>
      </x:c>
    </x:row>
    <x:row r="233" spans="1:9" customHeight="1">
      <x:c r="A233" s="195" t="s">
        <x:v>1533</x:v>
      </x:c>
      <x:c r="B233" s="95" t="s">
        <x:v>2020</x:v>
      </x:c>
      <x:c r="C233" s="285" t="s">
        <x:v>1060</x:v>
      </x:c>
      <x:c r="D233" s="8"/>
      <x:c r="E233" s="596" t="s">
        <x:v>1060</x:v>
      </x:c>
      <x:c r="F233" s="597" t="s">
        <x:v>1533</x:v>
      </x:c>
      <x:c r="G233" s="369" t="s">
        <x:v>2020</x:v>
      </x:c>
      <x:c r="H233" s="578" t="s">
        <x:v>380</x:v>
      </x:c>
      <x:c r="I233" s="579" t="s">
        <x:v>1288</x:v>
      </x:c>
    </x:row>
    <x:row r="234" spans="1:9" customHeight="1">
      <x:c r="A234" s="195" t="s">
        <x:v>472</x:v>
      </x:c>
      <x:c r="B234" s="95" t="s">
        <x:v>2020</x:v>
      </x:c>
      <x:c r="C234" s="285" t="s">
        <x:v>1060</x:v>
      </x:c>
      <x:c r="D234" s="6"/>
      <x:c r="E234" s="596" t="s">
        <x:v>1060</x:v>
      </x:c>
      <x:c r="F234" s="597" t="s">
        <x:v>472</x:v>
      </x:c>
      <x:c r="G234" s="369" t="s">
        <x:v>2020</x:v>
      </x:c>
      <x:c r="H234" s="578" t="s">
        <x:v>393</x:v>
      </x:c>
      <x:c r="I234" s="579" t="s">
        <x:v>1286</x:v>
      </x:c>
    </x:row>
    <x:row r="235" spans="1:9" customHeight="1">
      <x:c r="A235" s="195" t="s">
        <x:v>505</x:v>
      </x:c>
      <x:c r="B235" s="95" t="s">
        <x:v>2020</x:v>
      </x:c>
      <x:c r="C235" s="285" t="s">
        <x:v>1060</x:v>
      </x:c>
      <x:c r="E235" s="596" t="s">
        <x:v>1060</x:v>
      </x:c>
      <x:c r="F235" s="597" t="s">
        <x:v>505</x:v>
      </x:c>
      <x:c r="G235" s="369" t="s">
        <x:v>2020</x:v>
      </x:c>
      <x:c r="H235" s="578" t="s">
        <x:v>383</x:v>
      </x:c>
      <x:c r="I235" s="579" t="s">
        <x:v>1287</x:v>
      </x:c>
    </x:row>
    <x:row r="236" spans="1:9" customHeight="1">
      <x:c r="A236" s="195" t="s">
        <x:v>1023</x:v>
      </x:c>
      <x:c r="B236" s="318" t="s">
        <x:v>2022</x:v>
      </x:c>
      <x:c r="C236" s="285" t="s">
        <x:v>1060</x:v>
      </x:c>
      <x:c r="E236" s="596" t="s">
        <x:v>1060</x:v>
      </x:c>
      <x:c r="F236" s="597" t="s">
        <x:v>1023</x:v>
      </x:c>
      <x:c r="G236" s="369" t="s">
        <x:v>2022</x:v>
      </x:c>
      <x:c r="H236" s="578" t="s">
        <x:v>390</x:v>
      </x:c>
      <x:c r="I236" s="579" t="s">
        <x:v>1285</x:v>
      </x:c>
    </x:row>
    <x:row r="237" spans="1:9" customHeight="1">
      <x:c r="A237" s="195" t="s">
        <x:v>474</x:v>
      </x:c>
      <x:c r="B237" s="318" t="s">
        <x:v>2022</x:v>
      </x:c>
      <x:c r="C237" s="285" t="s">
        <x:v>1060</x:v>
      </x:c>
      <x:c r="E237" s="596" t="s">
        <x:v>1060</x:v>
      </x:c>
      <x:c r="F237" s="597" t="s">
        <x:v>474</x:v>
      </x:c>
      <x:c r="G237" s="369" t="s">
        <x:v>2022</x:v>
      </x:c>
      <x:c r="H237" s="578" t="s">
        <x:v>397</x:v>
      </x:c>
      <x:c r="I237" s="579" t="s">
        <x:v>1281</x:v>
      </x:c>
    </x:row>
    <x:row r="238" spans="1:9" customHeight="1">
      <x:c r="A238" s="195" t="s">
        <x:v>1025</x:v>
      </x:c>
      <x:c r="B238" s="318" t="s">
        <x:v>2022</x:v>
      </x:c>
      <x:c r="C238" s="285" t="s">
        <x:v>1060</x:v>
      </x:c>
      <x:c r="E238" s="596" t="s">
        <x:v>1060</x:v>
      </x:c>
      <x:c r="F238" s="597" t="s">
        <x:v>1025</x:v>
      </x:c>
      <x:c r="G238" s="369" t="s">
        <x:v>2022</x:v>
      </x:c>
      <x:c r="H238" s="578" t="s">
        <x:v>384</x:v>
      </x:c>
      <x:c r="I238" s="579" t="s">
        <x:v>1277</x:v>
      </x:c>
    </x:row>
    <x:row r="239" spans="1:9" customHeight="1">
      <x:c r="A239" s="326" t="s">
        <x:v>1991</x:v>
      </x:c>
      <x:c r="B239" s="316" t="s">
        <x:v>2020</x:v>
      </x:c>
      <x:c r="C239" s="200" t="s">
        <x:v>1060</x:v>
      </x:c>
      <x:c r="E239" s="598" t="s">
        <x:v>1060</x:v>
      </x:c>
      <x:c r="F239" s="599" t="s">
        <x:v>1991</x:v>
      </x:c>
      <x:c r="G239" s="567" t="s">
        <x:v>2020</x:v>
      </x:c>
      <x:c r="H239" s="568" t="s">
        <x:v>375</x:v>
      </x:c>
      <x:c r="I239" s="569" t="s">
        <x:v>1272</x:v>
      </x:c>
    </x:row>
    <x:row r="240" spans="1:9" customHeight="1">
      <x:c r="A240" s="197" t="s">
        <x:v>1935</x:v>
      </x:c>
      <x:c r="B240" s="315" t="s">
        <x:v>519</x:v>
      </x:c>
      <x:c r="C240" s="301" t="s">
        <x:v>1544</x:v>
      </x:c>
      <x:c r="E240" s="594" t="s">
        <x:v>1544</x:v>
      </x:c>
      <x:c r="F240" s="595" t="s">
        <x:v>1935</x:v>
      </x:c>
      <x:c r="G240" s="562" t="s">
        <x:v>519</x:v>
      </x:c>
      <x:c r="H240" s="563" t="s">
        <x:v>381</x:v>
      </x:c>
      <x:c r="I240" s="564" t="s">
        <x:v>1278</x:v>
      </x:c>
    </x:row>
    <x:row r="241" spans="1:9" customHeight="1">
      <x:c r="A241" s="195" t="s">
        <x:v>76</x:v>
      </x:c>
      <x:c r="B241" s="96" t="s">
        <x:v>519</x:v>
      </x:c>
      <x:c r="C241" s="285" t="s">
        <x:v>1544</x:v>
      </x:c>
      <x:c r="E241" s="596" t="s">
        <x:v>1544</x:v>
      </x:c>
      <x:c r="F241" s="597" t="s">
        <x:v>76</x:v>
      </x:c>
      <x:c r="G241" s="577" t="s">
        <x:v>519</x:v>
      </x:c>
      <x:c r="H241" s="578" t="s">
        <x:v>387</x:v>
      </x:c>
      <x:c r="I241" s="579" t="s">
        <x:v>1289</x:v>
      </x:c>
    </x:row>
    <x:row r="242" spans="1:9" customHeight="1">
      <x:c r="A242" s="307" t="s">
        <x:v>1955</x:v>
      </x:c>
      <x:c r="B242" s="308" t="s">
        <x:v>519</x:v>
      </x:c>
      <x:c r="C242" s="309" t="s">
        <x:v>1544</x:v>
      </x:c>
      <x:c r="E242" s="598" t="s">
        <x:v>1544</x:v>
      </x:c>
      <x:c r="F242" s="600" t="s">
        <x:v>1955</x:v>
      </x:c>
      <x:c r="G242" s="567" t="s">
        <x:v>519</x:v>
      </x:c>
      <x:c r="H242" s="568" t="s">
        <x:v>382</x:v>
      </x:c>
      <x:c r="I242" s="569" t="s">
        <x:v>1270</x:v>
      </x:c>
    </x:row>
    <x:row r="243" spans="1:9" customHeight="1">
      <x:c r="A243" s="310" t="s">
        <x:v>473</x:v>
      </x:c>
      <x:c r="B243" s="311" t="s">
        <x:v>2022</x:v>
      </x:c>
      <x:c r="C243" s="312" t="s">
        <x:v>1054</x:v>
      </x:c>
      <x:c r="E243" s="594" t="s">
        <x:v>1054</x:v>
      </x:c>
      <x:c r="F243" s="595" t="s">
        <x:v>473</x:v>
      </x:c>
      <x:c r="G243" s="562" t="s">
        <x:v>2022</x:v>
      </x:c>
      <x:c r="H243" s="563" t="s">
        <x:v>395</x:v>
      </x:c>
      <x:c r="I243" s="564" t="s">
        <x:v>1290</x:v>
      </x:c>
    </x:row>
    <x:row r="244" spans="1:9" customHeight="1">
      <x:c r="A244" s="286" t="s">
        <x:v>481</x:v>
      </x:c>
      <x:c r="B244" s="306" t="s">
        <x:v>2022</x:v>
      </x:c>
      <x:c r="C244" s="304" t="s">
        <x:v>1054</x:v>
      </x:c>
      <x:c r="E244" s="596" t="s">
        <x:v>1054</x:v>
      </x:c>
      <x:c r="F244" s="597" t="s">
        <x:v>481</x:v>
      </x:c>
      <x:c r="G244" s="577" t="s">
        <x:v>2022</x:v>
      </x:c>
      <x:c r="H244" s="578" t="s">
        <x:v>400</x:v>
      </x:c>
      <x:c r="I244" s="579" t="s">
        <x:v>1276</x:v>
      </x:c>
    </x:row>
    <x:row r="245" spans="1:9" customHeight="1">
      <x:c r="A245" s="286" t="s">
        <x:v>499</x:v>
      </x:c>
      <x:c r="B245" s="306" t="s">
        <x:v>2022</x:v>
      </x:c>
      <x:c r="C245" s="304" t="s">
        <x:v>1054</x:v>
      </x:c>
      <x:c r="E245" s="596" t="s">
        <x:v>1054</x:v>
      </x:c>
      <x:c r="F245" s="597" t="s">
        <x:v>499</x:v>
      </x:c>
      <x:c r="G245" s="577" t="s">
        <x:v>2022</x:v>
      </x:c>
      <x:c r="H245" s="578" t="s">
        <x:v>399</x:v>
      </x:c>
      <x:c r="I245" s="579" t="s">
        <x:v>1283</x:v>
      </x:c>
    </x:row>
    <x:row r="246" spans="1:9" customHeight="1">
      <x:c r="A246" s="302" t="s">
        <x:v>476</x:v>
      </x:c>
      <x:c r="B246" s="305" t="s">
        <x:v>2022</x:v>
      </x:c>
      <x:c r="C246" s="303" t="s">
        <x:v>1054</x:v>
      </x:c>
      <x:c r="E246" s="598" t="s">
        <x:v>1054</x:v>
      </x:c>
      <x:c r="F246" s="600" t="s">
        <x:v>476</x:v>
      </x:c>
      <x:c r="G246" s="601" t="s">
        <x:v>2022</x:v>
      </x:c>
      <x:c r="H246" s="568" t="s">
        <x:v>403</x:v>
      </x:c>
      <x:c r="I246" s="582" t="s">
        <x:v>1291</x:v>
      </x:c>
    </x:row>
    <x:row r="247" spans="1:9" customHeight="1">
      <x:c r="A247" s="310" t="s">
        <x:v>75</x:v>
      </x:c>
      <x:c r="B247" s="311" t="s">
        <x:v>1998</x:v>
      </x:c>
      <x:c r="C247" s="312" t="s">
        <x:v>1061</x:v>
      </x:c>
      <x:c r="E247" s="271" t="s">
        <x:v>1061</x:v>
      </x:c>
      <x:c r="F247" s="274" t="s">
        <x:v>75</x:v>
      </x:c>
      <x:c r="G247" s="368" t="s">
        <x:v>1998</x:v>
      </x:c>
      <x:c r="H247" s="563" t="s">
        <x:v>388</x:v>
      </x:c>
      <x:c r="I247" s="275" t="s">
        <x:v>1279</x:v>
      </x:c>
    </x:row>
    <x:row r="248" spans="1:9" customHeight="1">
      <x:c r="A248" s="286" t="s">
        <x:v>1997</x:v>
      </x:c>
      <x:c r="B248" s="306" t="s">
        <x:v>1998</x:v>
      </x:c>
      <x:c r="C248" s="304" t="s">
        <x:v>1061</x:v>
      </x:c>
      <x:c r="E248" s="272" t="s">
        <x:v>1061</x:v>
      </x:c>
      <x:c r="F248" s="276" t="s">
        <x:v>1997</x:v>
      </x:c>
      <x:c r="G248" s="369" t="s">
        <x:v>1998</x:v>
      </x:c>
      <x:c r="H248" s="578" t="s">
        <x:v>385</x:v>
      </x:c>
      <x:c r="I248" s="277" t="s">
        <x:v>1269</x:v>
      </x:c>
    </x:row>
    <x:row r="249" spans="1:9" customHeight="1">
      <x:c r="A249" s="286" t="s">
        <x:v>2003</x:v>
      </x:c>
      <x:c r="B249" s="306" t="s">
        <x:v>1998</x:v>
      </x:c>
      <x:c r="C249" s="304" t="s">
        <x:v>1061</x:v>
      </x:c>
      <x:c r="E249" s="272" t="s">
        <x:v>1061</x:v>
      </x:c>
      <x:c r="F249" s="276" t="s">
        <x:v>2003</x:v>
      </x:c>
      <x:c r="G249" s="369" t="s">
        <x:v>1998</x:v>
      </x:c>
      <x:c r="H249" s="578" t="s">
        <x:v>386</x:v>
      </x:c>
      <x:c r="I249" s="277" t="s">
        <x:v>1271</x:v>
      </x:c>
    </x:row>
    <x:row r="250" spans="1:9" customHeight="1">
      <x:c r="A250" s="286" t="s">
        <x:v>2004</x:v>
      </x:c>
      <x:c r="B250" s="306" t="s">
        <x:v>1998</x:v>
      </x:c>
      <x:c r="C250" s="304" t="s">
        <x:v>1061</x:v>
      </x:c>
      <x:c r="E250" s="272" t="s">
        <x:v>1061</x:v>
      </x:c>
      <x:c r="F250" s="276" t="s">
        <x:v>2004</x:v>
      </x:c>
      <x:c r="G250" s="369" t="s">
        <x:v>1998</x:v>
      </x:c>
      <x:c r="H250" s="578" t="s">
        <x:v>401</x:v>
      </x:c>
      <x:c r="I250" s="277" t="s">
        <x:v>1282</x:v>
      </x:c>
    </x:row>
    <x:row r="251" spans="1:9" customHeight="1">
      <x:c r="A251" s="322" t="s">
        <x:v>922</x:v>
      </x:c>
      <x:c r="B251" s="324" t="s">
        <x:v>1938</x:v>
      </x:c>
      <x:c r="C251" s="323" t="s">
        <x:v>1639</x:v>
      </x:c>
      <x:c r="E251" s="271" t="s">
        <x:v>1639</x:v>
      </x:c>
      <x:c r="F251" s="274" t="s">
        <x:v>922</x:v>
      </x:c>
      <x:c r="G251" s="368" t="s">
        <x:v>1938</x:v>
      </x:c>
      <x:c r="H251" s="563" t="s">
        <x:v>373</x:v>
      </x:c>
      <x:c r="I251" s="275">
        <x:v>50801</x:v>
      </x:c>
    </x:row>
    <x:row r="252" spans="1:9" customHeight="1">
      <x:c r="A252" s="320" t="s">
        <x:v>26</x:v>
      </x:c>
      <x:c r="B252" s="325" t="s">
        <x:v>1938</x:v>
      </x:c>
      <x:c r="C252" s="321" t="s">
        <x:v>1639</x:v>
      </x:c>
      <x:c r="E252" s="272" t="s">
        <x:v>1639</x:v>
      </x:c>
      <x:c r="F252" s="276" t="s">
        <x:v>26</x:v>
      </x:c>
      <x:c r="G252" s="369" t="s">
        <x:v>1938</x:v>
      </x:c>
      <x:c r="H252" s="578" t="s">
        <x:v>374</x:v>
      </x:c>
      <x:c r="I252" s="277">
        <x:v>50802</x:v>
      </x:c>
    </x:row>
    <x:row r="253" spans="1:9" customHeight="1">
      <x:c r="A253" s="322" t="s">
        <x:v>940</x:v>
      </x:c>
      <x:c r="B253" s="324" t="s">
        <x:v>1938</x:v>
      </x:c>
      <x:c r="C253" s="323" t="s">
        <x:v>1654</x:v>
      </x:c>
      <x:c r="E253" s="272" t="s">
        <x:v>1654</x:v>
      </x:c>
      <x:c r="F253" s="276" t="s">
        <x:v>940</x:v>
      </x:c>
      <x:c r="G253" s="369" t="s">
        <x:v>1938</x:v>
      </x:c>
      <x:c r="H253" s="578" t="s">
        <x:v>406</x:v>
      </x:c>
      <x:c r="I253" s="277">
        <x:v>50803</x:v>
      </x:c>
    </x:row>
    <x:row r="254" spans="1:9" customHeight="1">
      <x:c r="A254" s="320" t="s">
        <x:v>23</x:v>
      </x:c>
      <x:c r="B254" s="325" t="s">
        <x:v>1938</x:v>
      </x:c>
      <x:c r="C254" s="321" t="s">
        <x:v>1654</x:v>
      </x:c>
      <x:c r="E254" s="273" t="s">
        <x:v>1654</x:v>
      </x:c>
      <x:c r="F254" s="278" t="s">
        <x:v>23</x:v>
      </x:c>
      <x:c r="G254" s="370" t="s">
        <x:v>1938</x:v>
      </x:c>
      <x:c r="H254" s="568" t="s">
        <x:v>412</x:v>
      </x:c>
      <x:c r="I254" s="279">
        <x:v>50804</x:v>
      </x:c>
    </x:row>
    <x:row r="255" spans="1:9" customHeight="1">
      <x:c r="A255" s="292" t="s">
        <x:v>66</x:v>
      </x:c>
      <x:c r="B255" s="319" t="s">
        <x:v>1937</x:v>
      </x:c>
      <x:c r="C255" s="293" t="s">
        <x:v>66</x:v>
      </x:c>
      <x:c r="E255" s="570" t="s">
        <x:v>66</x:v>
      </x:c>
      <x:c r="F255" s="571" t="s">
        <x:v>66</x:v>
      </x:c>
      <x:c r="G255" s="572" t="s">
        <x:v>1937</x:v>
      </x:c>
      <x:c r="H255" s="573" t="s">
        <x:v>413</x:v>
      </x:c>
      <x:c r="I255" s="574">
        <x:v>50805</x:v>
      </x:c>
    </x:row>
  </x:sheetData>
  <x:autoFilter ref="A2:P254"/>
  <x:pageMargins left="0.7086111307144165" right="0.7086111307144165" top="0.74791663885116577" bottom="0.74791663885116577" header="0.31486111879348755" footer="0.31486111879348755"/>
  <x:pageSetup paperSize="8" scale="5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6" baseType="lpstr">
      <vt:lpstr>1. 표지 (상임위)</vt:lpstr>
      <vt:lpstr>1. 총괄표(상임위)</vt:lpstr>
      <vt:lpstr>2. 표지 (예결위)</vt:lpstr>
      <vt:lpstr>2. 총괄표(예결위)</vt:lpstr>
      <vt:lpstr>3. 일입</vt:lpstr>
      <vt:lpstr>3. 일출(자체)</vt:lpstr>
      <vt:lpstr>3. 일출(의존)</vt:lpstr>
      <vt:lpstr>4. 특입</vt:lpstr>
      <vt:lpstr>4. 특출</vt:lpstr>
      <vt:lpstr>4-1. 공특입</vt:lpstr>
      <vt:lpstr>4-1. 공특출</vt:lpstr>
      <vt:lpstr>5. 기입</vt:lpstr>
      <vt:lpstr>5. 기출</vt:lpstr>
      <vt:lpstr>6. 계속비사업조서</vt:lpstr>
      <vt:lpstr>7. 검증</vt:lpstr>
      <vt:lpstr>구분표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revision>1</cp:revision>
  <cp:lastPrinted>2024-12-01T09:31:31.000</cp:lastPrinted>
  <dcterms:created xsi:type="dcterms:W3CDTF">2015-06-26T00:14:49.000</dcterms:created>
  <dcterms:modified xsi:type="dcterms:W3CDTF">2026-09-30T00:37:58.238</dcterms:modified>
  <cp:version>1000.0100.01</cp:version>
</cp:coreProperties>
</file>